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1" activeTab="2"/>
  </bookViews>
  <sheets>
    <sheet name="Krzywe przejściowe" sheetId="1" r:id="rId1"/>
    <sheet name="Dane wejściowe" sheetId="8" r:id="rId2"/>
    <sheet name="Skrzyżowanie bez sygnalizacji" sheetId="5" r:id="rId3"/>
    <sheet name="Skrzyżowanie z sygnalizacją" sheetId="6" r:id="rId4"/>
    <sheet name="Rondo" sheetId="7" r:id="rId5"/>
  </sheets>
  <definedNames>
    <definedName name="A.k15">'Skrzyżowanie bez sygnalizacji'!$E$12:$G$12</definedName>
    <definedName name="A1L">Rondo!$E$21</definedName>
    <definedName name="A1LI">Rondo!$E$41</definedName>
    <definedName name="A1W">Rondo!$E$22</definedName>
    <definedName name="A1WI">Rondo!$E$42</definedName>
    <definedName name="A2P">Rondo!$G$23</definedName>
    <definedName name="A2PI">Rondo!$G$43</definedName>
    <definedName name="A2W">Rondo!$G$22</definedName>
    <definedName name="A2WI">Rondo!$G$42</definedName>
    <definedName name="AL">'Krzywe przejściowe'!$D$23</definedName>
    <definedName name="alfa">'Krzywe przejściowe'!$D$4</definedName>
    <definedName name="B.k15">'Skrzyżowanie bez sygnalizacji'!$H$12</definedName>
    <definedName name="B1L">Rondo!$H$21</definedName>
    <definedName name="B1LI">Rondo!$H$41</definedName>
    <definedName name="B1W">Rondo!$H$22</definedName>
    <definedName name="B1WI">Rondo!$H$42</definedName>
    <definedName name="B2P">Rondo!$J$23</definedName>
    <definedName name="B2PI">Rondo!$J$43</definedName>
    <definedName name="B2W">Rondo!$J$22</definedName>
    <definedName name="B2WI">Rondo!$J$42</definedName>
    <definedName name="C.k15">'Skrzyżowanie bez sygnalizacji'!$K$12</definedName>
    <definedName name="C1.L">Rondo!$K$21</definedName>
    <definedName name="C1.LI">Rondo!$K$41</definedName>
    <definedName name="C1.P">Rondo!$M$23</definedName>
    <definedName name="C1.W">Rondo!$K$22</definedName>
    <definedName name="C1.WI">Rondo!$K$42</definedName>
    <definedName name="C2.PI">Rondo!$M$43</definedName>
    <definedName name="D.k15">'Skrzyżowanie bez sygnalizacji'!$N$12</definedName>
    <definedName name="D1.L">Rondo!$N$21</definedName>
    <definedName name="D1.LI">Rondo!$N$41</definedName>
    <definedName name="D1.W">Rondo!$N$22</definedName>
    <definedName name="D1.WI">Rondo!$N$42</definedName>
    <definedName name="D2.P">Rondo!$P$23</definedName>
    <definedName name="D2.PI">Rondo!$P$43</definedName>
    <definedName name="DANE">'Dane wejściowe'!$A$39</definedName>
    <definedName name="LL">'Krzywe przejściowe'!$D$22</definedName>
    <definedName name="QAL">'Skrzyżowanie bez sygnalizacji'!$E$13</definedName>
    <definedName name="QALM">'Skrzyżowanie bez sygnalizacji'!$E$11</definedName>
    <definedName name="QAP">'Skrzyżowanie bez sygnalizacji'!$G$13</definedName>
    <definedName name="QAPM">'Skrzyżowanie bez sygnalizacji'!$G$11</definedName>
    <definedName name="QAW">'Skrzyżowanie bez sygnalizacji'!$F$13</definedName>
    <definedName name="QAWM">'Skrzyżowanie bez sygnalizacji'!$F$11</definedName>
    <definedName name="QBL">'Skrzyżowanie bez sygnalizacji'!$H$13</definedName>
    <definedName name="QBLM">'Skrzyżowanie bez sygnalizacji'!$H$11</definedName>
    <definedName name="QBP">'Skrzyżowanie bez sygnalizacji'!$J$13</definedName>
    <definedName name="QBPM">'Skrzyżowanie bez sygnalizacji'!$J$11</definedName>
    <definedName name="QBW">'Skrzyżowanie bez sygnalizacji'!$I$13</definedName>
    <definedName name="QBWM">'Skrzyżowanie bez sygnalizacji'!$I$11</definedName>
    <definedName name="QCL">'Skrzyżowanie bez sygnalizacji'!$K$13</definedName>
    <definedName name="QCLM">'Skrzyżowanie bez sygnalizacji'!$K$11</definedName>
    <definedName name="QCP">'Skrzyżowanie bez sygnalizacji'!$M$13</definedName>
    <definedName name="QCPM">'Skrzyżowanie bez sygnalizacji'!$M$11</definedName>
    <definedName name="QCW">'Skrzyżowanie bez sygnalizacji'!$L$13</definedName>
    <definedName name="QCWM">'Skrzyżowanie bez sygnalizacji'!$L$11</definedName>
    <definedName name="QDL">'Skrzyżowanie bez sygnalizacji'!$N$13</definedName>
    <definedName name="QDLM">'Skrzyżowanie bez sygnalizacji'!$N$11</definedName>
    <definedName name="QDP">'Skrzyżowanie bez sygnalizacji'!$P$13</definedName>
    <definedName name="QDPM">'Skrzyżowanie bez sygnalizacji'!$P$11</definedName>
    <definedName name="QDW">'Skrzyżowanie bez sygnalizacji'!$O$13</definedName>
    <definedName name="QDWM">'Skrzyżowanie bez sygnalizacji'!$O$11</definedName>
    <definedName name="RL">'Krzywe przejściowe'!$C$5</definedName>
    <definedName name="vm">'Krzywe przejściowe'!$C$7</definedName>
    <definedName name="vp">'Krzywe przejściowe'!$C$6</definedName>
  </definedNames>
  <calcPr calcId="124519"/>
</workbook>
</file>

<file path=xl/calcChain.xml><?xml version="1.0" encoding="utf-8"?>
<calcChain xmlns="http://schemas.openxmlformats.org/spreadsheetml/2006/main">
  <c r="M30" i="8"/>
  <c r="M29" s="1"/>
  <c r="J30"/>
  <c r="G30"/>
  <c r="G29" s="1"/>
  <c r="H26" s="1"/>
  <c r="J29"/>
  <c r="J26"/>
  <c r="R24"/>
  <c r="C24"/>
  <c r="R23"/>
  <c r="C23"/>
  <c r="N19"/>
  <c r="F19"/>
  <c r="R17"/>
  <c r="C17"/>
  <c r="F18" s="1"/>
  <c r="R16"/>
  <c r="C16"/>
  <c r="J11"/>
  <c r="R10"/>
  <c r="N18" s="1"/>
  <c r="C10"/>
  <c r="R9"/>
  <c r="N17" s="1"/>
  <c r="C9"/>
  <c r="F17" s="1"/>
  <c r="M5"/>
  <c r="M4" s="1"/>
  <c r="J5"/>
  <c r="G5"/>
  <c r="G4" s="1"/>
  <c r="H11" s="1"/>
  <c r="J4"/>
  <c r="I11" l="1"/>
  <c r="I26"/>
  <c r="J2" i="5" l="1"/>
  <c r="J2" i="7"/>
  <c r="J2" i="6"/>
  <c r="P11" i="5"/>
  <c r="P11" i="6" s="1"/>
  <c r="N12" i="5"/>
  <c r="N11" i="7" s="1"/>
  <c r="K12" i="5"/>
  <c r="K11" i="7" s="1"/>
  <c r="O11" i="5"/>
  <c r="O10" i="7" s="1"/>
  <c r="N11" i="5"/>
  <c r="N11" i="6" s="1"/>
  <c r="M11" i="5"/>
  <c r="M10" i="7" s="1"/>
  <c r="L11" i="5"/>
  <c r="L11" i="6" s="1"/>
  <c r="K11" i="5"/>
  <c r="K10" i="7" s="1"/>
  <c r="J11" i="5"/>
  <c r="J10" i="7" s="1"/>
  <c r="I11" i="5"/>
  <c r="I10" i="7" s="1"/>
  <c r="H12" i="5"/>
  <c r="H11" i="7" s="1"/>
  <c r="H11" i="5"/>
  <c r="H11" i="6" s="1"/>
  <c r="G11" i="5"/>
  <c r="G10" i="7" s="1"/>
  <c r="F11" i="5"/>
  <c r="F10" i="7" s="1"/>
  <c r="E12" i="5"/>
  <c r="E11" i="7" s="1"/>
  <c r="E11" i="5"/>
  <c r="E10" i="7" s="1"/>
  <c r="H10" l="1"/>
  <c r="M11" i="6"/>
  <c r="N12"/>
  <c r="F11"/>
  <c r="K11"/>
  <c r="O11"/>
  <c r="H12"/>
  <c r="J11"/>
  <c r="L10" i="7"/>
  <c r="N10"/>
  <c r="P10"/>
  <c r="E11" i="6"/>
  <c r="G11"/>
  <c r="I11"/>
  <c r="K12"/>
  <c r="E12"/>
  <c r="E19"/>
  <c r="O17"/>
  <c r="N17"/>
  <c r="N21" s="1"/>
  <c r="O21"/>
  <c r="L21"/>
  <c r="K21"/>
  <c r="H21"/>
  <c r="E21"/>
  <c r="L22" l="1"/>
  <c r="L52"/>
  <c r="L53" s="1"/>
  <c r="O23"/>
  <c r="O52"/>
  <c r="O53" s="1"/>
  <c r="N22"/>
  <c r="N52"/>
  <c r="N53" s="1"/>
  <c r="L23"/>
  <c r="O22"/>
  <c r="N23"/>
  <c r="K13" i="5"/>
  <c r="L13"/>
  <c r="L13" i="6" s="1"/>
  <c r="M13" i="5"/>
  <c r="L28"/>
  <c r="O28"/>
  <c r="P13"/>
  <c r="O13"/>
  <c r="O13" i="6" s="1"/>
  <c r="N13" i="5"/>
  <c r="J13"/>
  <c r="J13" i="6" s="1"/>
  <c r="I13" i="5"/>
  <c r="H13"/>
  <c r="H13" i="6" s="1"/>
  <c r="G13" i="5"/>
  <c r="F13"/>
  <c r="E13"/>
  <c r="E13" i="6" s="1"/>
  <c r="H8" i="5"/>
  <c r="E8"/>
  <c r="N8"/>
  <c r="K8"/>
  <c r="E46" l="1"/>
  <c r="E8" i="6"/>
  <c r="E72" s="1"/>
  <c r="N46" i="5"/>
  <c r="N8" i="6"/>
  <c r="N72" s="1"/>
  <c r="H46" i="5"/>
  <c r="H8" i="6"/>
  <c r="H72" s="1"/>
  <c r="K46" i="5"/>
  <c r="K8" i="6"/>
  <c r="K72" s="1"/>
  <c r="G35" i="5"/>
  <c r="G13" i="6"/>
  <c r="N35"/>
  <c r="N79" s="1"/>
  <c r="N13"/>
  <c r="P12" i="7"/>
  <c r="P20" s="1"/>
  <c r="P57" s="1"/>
  <c r="P13" i="6"/>
  <c r="F12" i="7"/>
  <c r="F13" i="6"/>
  <c r="I12" i="7"/>
  <c r="I13" i="6"/>
  <c r="M12" i="7"/>
  <c r="M20" s="1"/>
  <c r="M57" s="1"/>
  <c r="M13" i="6"/>
  <c r="K35"/>
  <c r="K79" s="1"/>
  <c r="K13"/>
  <c r="L12" i="7"/>
  <c r="K35" i="5"/>
  <c r="P22" i="7"/>
  <c r="P21"/>
  <c r="M23"/>
  <c r="M18" i="5"/>
  <c r="E12" i="7"/>
  <c r="F35" i="6"/>
  <c r="F79" s="1"/>
  <c r="E35"/>
  <c r="E79" s="1"/>
  <c r="E32"/>
  <c r="K15" i="5"/>
  <c r="L35" i="6"/>
  <c r="L79" s="1"/>
  <c r="L33" i="5"/>
  <c r="L34" s="1"/>
  <c r="L33" i="6"/>
  <c r="L34" s="1"/>
  <c r="L35" i="5"/>
  <c r="H35" i="6"/>
  <c r="H79" s="1"/>
  <c r="I35"/>
  <c r="I79" s="1"/>
  <c r="I35" i="5"/>
  <c r="H32" i="6"/>
  <c r="J12" i="7"/>
  <c r="I34" i="5"/>
  <c r="I34" i="6"/>
  <c r="I33" s="1"/>
  <c r="O12" i="7"/>
  <c r="O35" i="6"/>
  <c r="O79" s="1"/>
  <c r="O33"/>
  <c r="O34" s="1"/>
  <c r="O33" i="5"/>
  <c r="O34" s="1"/>
  <c r="O35"/>
  <c r="N18"/>
  <c r="L18"/>
  <c r="E32"/>
  <c r="E33" s="1"/>
  <c r="E35"/>
  <c r="N35"/>
  <c r="K18"/>
  <c r="O18"/>
  <c r="P18"/>
  <c r="H32"/>
  <c r="H33" s="1"/>
  <c r="F35"/>
  <c r="H35"/>
  <c r="G12" i="7"/>
  <c r="G35" i="6"/>
  <c r="G79" s="1"/>
  <c r="E18" i="5"/>
  <c r="H12" i="7"/>
  <c r="N12"/>
  <c r="K12"/>
  <c r="H8" l="1"/>
  <c r="H55" s="1"/>
  <c r="H33" i="6"/>
  <c r="E33"/>
  <c r="K49"/>
  <c r="H49"/>
  <c r="N49"/>
  <c r="E49"/>
  <c r="E8" i="7"/>
  <c r="E55" s="1"/>
  <c r="K8"/>
  <c r="K55" s="1"/>
  <c r="N8"/>
  <c r="N55" s="1"/>
  <c r="M22"/>
  <c r="M21"/>
  <c r="P23"/>
  <c r="K36" i="5"/>
  <c r="N20" i="7"/>
  <c r="N57" s="1"/>
  <c r="K20"/>
  <c r="K57" s="1"/>
  <c r="E13"/>
  <c r="L36" i="5"/>
  <c r="N13" i="7"/>
  <c r="K13"/>
  <c r="H13"/>
  <c r="K52" i="6"/>
  <c r="S51" i="1"/>
  <c r="N18" i="7" l="1"/>
  <c r="N22" s="1"/>
  <c r="E15"/>
  <c r="P39"/>
  <c r="P40" s="1"/>
  <c r="M39"/>
  <c r="M40" s="1"/>
  <c r="N23"/>
  <c r="N39"/>
  <c r="N40" s="1"/>
  <c r="K39"/>
  <c r="K40" s="1"/>
  <c r="G19"/>
  <c r="H20"/>
  <c r="J20"/>
  <c r="K23"/>
  <c r="K18"/>
  <c r="K22" s="1"/>
  <c r="F15"/>
  <c r="E17"/>
  <c r="H17"/>
  <c r="K17"/>
  <c r="K21" s="1"/>
  <c r="N17"/>
  <c r="N21" s="1"/>
  <c r="G15"/>
  <c r="E20"/>
  <c r="G20"/>
  <c r="G57" s="1"/>
  <c r="J19"/>
  <c r="K23" i="6"/>
  <c r="K53"/>
  <c r="K56" s="1"/>
  <c r="K58" s="1"/>
  <c r="H52"/>
  <c r="H53" s="1"/>
  <c r="H56" s="1"/>
  <c r="H58" s="1"/>
  <c r="I15" i="7"/>
  <c r="J15"/>
  <c r="L15"/>
  <c r="M15"/>
  <c r="O15"/>
  <c r="P15"/>
  <c r="H15"/>
  <c r="K15"/>
  <c r="N15"/>
  <c r="E22" i="6"/>
  <c r="E51"/>
  <c r="K22"/>
  <c r="N56"/>
  <c r="N58" s="1"/>
  <c r="H22"/>
  <c r="E52"/>
  <c r="E53" s="1"/>
  <c r="E56" s="1"/>
  <c r="H23"/>
  <c r="E23"/>
  <c r="N27" i="5"/>
  <c r="N28" s="1"/>
  <c r="K27"/>
  <c r="K28" s="1"/>
  <c r="F14"/>
  <c r="T36" i="1"/>
  <c r="U36"/>
  <c r="V36"/>
  <c r="W36"/>
  <c r="X36"/>
  <c r="Y36"/>
  <c r="Z36"/>
  <c r="AA36"/>
  <c r="AB36"/>
  <c r="AC36"/>
  <c r="S36"/>
  <c r="S47"/>
  <c r="V51" s="1"/>
  <c r="C52"/>
  <c r="C48"/>
  <c r="F52" s="1"/>
  <c r="M37"/>
  <c r="L37"/>
  <c r="K37"/>
  <c r="J37"/>
  <c r="I37"/>
  <c r="H37"/>
  <c r="G37"/>
  <c r="F37"/>
  <c r="E37"/>
  <c r="D37"/>
  <c r="C37"/>
  <c r="E58" i="6" l="1"/>
  <c r="F22" i="5"/>
  <c r="F29" s="1"/>
  <c r="F14" i="6"/>
  <c r="F29" s="1"/>
  <c r="G39" i="7"/>
  <c r="J39"/>
  <c r="J40" s="1"/>
  <c r="J41" s="1"/>
  <c r="J57"/>
  <c r="E39"/>
  <c r="E40" s="1"/>
  <c r="E41" s="1"/>
  <c r="E57"/>
  <c r="H39"/>
  <c r="H40" s="1"/>
  <c r="H57"/>
  <c r="E43"/>
  <c r="N43"/>
  <c r="N42"/>
  <c r="N41"/>
  <c r="M43"/>
  <c r="M42"/>
  <c r="M41"/>
  <c r="K43"/>
  <c r="K42"/>
  <c r="K41"/>
  <c r="P43"/>
  <c r="P42"/>
  <c r="P41"/>
  <c r="J23"/>
  <c r="E21"/>
  <c r="G21"/>
  <c r="G18"/>
  <c r="G22" s="1"/>
  <c r="M24" s="1"/>
  <c r="M29" s="1"/>
  <c r="H23"/>
  <c r="H18"/>
  <c r="H22" s="1"/>
  <c r="E18"/>
  <c r="E22" s="1"/>
  <c r="E23"/>
  <c r="J18"/>
  <c r="J22" s="1"/>
  <c r="P24" s="1"/>
  <c r="P29" s="1"/>
  <c r="J21"/>
  <c r="H21"/>
  <c r="G23"/>
  <c r="H14"/>
  <c r="X30" i="1"/>
  <c r="T29"/>
  <c r="T28"/>
  <c r="T23"/>
  <c r="U17"/>
  <c r="U16"/>
  <c r="U14"/>
  <c r="U13"/>
  <c r="U29"/>
  <c r="T4"/>
  <c r="D29"/>
  <c r="E29" s="1"/>
  <c r="H30"/>
  <c r="D28"/>
  <c r="D4"/>
  <c r="D23"/>
  <c r="E16"/>
  <c r="E17"/>
  <c r="E14"/>
  <c r="E13"/>
  <c r="C6"/>
  <c r="E10" s="1"/>
  <c r="J43" i="7" l="1"/>
  <c r="G40"/>
  <c r="G43" s="1"/>
  <c r="H43"/>
  <c r="H41"/>
  <c r="G44" s="1"/>
  <c r="G47" s="1"/>
  <c r="E42"/>
  <c r="J42"/>
  <c r="P44" s="1"/>
  <c r="P47" s="1"/>
  <c r="H42"/>
  <c r="H44"/>
  <c r="H47" s="1"/>
  <c r="J44"/>
  <c r="J47" s="1"/>
  <c r="H24"/>
  <c r="H29" s="1"/>
  <c r="J24"/>
  <c r="J29" s="1"/>
  <c r="G24"/>
  <c r="G29" s="1"/>
  <c r="E24"/>
  <c r="E29" s="1"/>
  <c r="N24"/>
  <c r="N29" s="1"/>
  <c r="K24"/>
  <c r="K29" s="1"/>
  <c r="H37"/>
  <c r="H48" s="1"/>
  <c r="H30"/>
  <c r="I14" i="5"/>
  <c r="I14" i="6" s="1"/>
  <c r="I29" s="1"/>
  <c r="H14" i="5"/>
  <c r="H14" i="6" s="1"/>
  <c r="M14" i="5"/>
  <c r="M14" i="6" s="1"/>
  <c r="M29" s="1"/>
  <c r="K14" i="5"/>
  <c r="K14" i="6" s="1"/>
  <c r="P14" i="5"/>
  <c r="P14" i="6" s="1"/>
  <c r="P29" s="1"/>
  <c r="O14" i="5"/>
  <c r="O14" i="6" s="1"/>
  <c r="O29" s="1"/>
  <c r="N14" i="5"/>
  <c r="N14" i="6" s="1"/>
  <c r="T27" i="1"/>
  <c r="Y37"/>
  <c r="AB38"/>
  <c r="Z41" s="1"/>
  <c r="Z44" s="1"/>
  <c r="Z38"/>
  <c r="Y38"/>
  <c r="T38"/>
  <c r="AB37"/>
  <c r="AA37"/>
  <c r="S37"/>
  <c r="S38"/>
  <c r="T37"/>
  <c r="AA38"/>
  <c r="AC38"/>
  <c r="W38"/>
  <c r="U38"/>
  <c r="U37"/>
  <c r="AC37"/>
  <c r="Z37"/>
  <c r="X40" s="1"/>
  <c r="X43" s="1"/>
  <c r="V38"/>
  <c r="V37"/>
  <c r="X37"/>
  <c r="V40" s="1"/>
  <c r="V43" s="1"/>
  <c r="X38"/>
  <c r="V41" s="1"/>
  <c r="V44" s="1"/>
  <c r="W37"/>
  <c r="T30"/>
  <c r="X29" s="1"/>
  <c r="D26"/>
  <c r="H26" s="1"/>
  <c r="F39"/>
  <c r="G39"/>
  <c r="F38"/>
  <c r="G38"/>
  <c r="H39"/>
  <c r="L39"/>
  <c r="E39"/>
  <c r="M38"/>
  <c r="K41" s="1"/>
  <c r="K44" s="1"/>
  <c r="I38"/>
  <c r="J38"/>
  <c r="L38"/>
  <c r="K38"/>
  <c r="J39"/>
  <c r="H42" s="1"/>
  <c r="H45" s="1"/>
  <c r="D38"/>
  <c r="I39"/>
  <c r="C38"/>
  <c r="E38"/>
  <c r="D39"/>
  <c r="M39"/>
  <c r="K39"/>
  <c r="H38"/>
  <c r="C39"/>
  <c r="X27"/>
  <c r="T26"/>
  <c r="X26" s="1"/>
  <c r="H27"/>
  <c r="U10"/>
  <c r="T20" s="1"/>
  <c r="T21" s="1"/>
  <c r="U30"/>
  <c r="D27"/>
  <c r="D20"/>
  <c r="D21" s="1"/>
  <c r="D30"/>
  <c r="K29" i="6" l="1"/>
  <c r="H29"/>
  <c r="N29"/>
  <c r="O37" s="1"/>
  <c r="O38" s="1"/>
  <c r="O80" s="1"/>
  <c r="N74"/>
  <c r="N77" s="1"/>
  <c r="O74"/>
  <c r="O77" s="1"/>
  <c r="G42" i="7"/>
  <c r="M44" s="1"/>
  <c r="M47" s="1"/>
  <c r="G41"/>
  <c r="N44"/>
  <c r="N47" s="1"/>
  <c r="N37" i="6"/>
  <c r="N38" s="1"/>
  <c r="N80" s="1"/>
  <c r="E44" i="7"/>
  <c r="E47" s="1"/>
  <c r="J49"/>
  <c r="J50" s="1"/>
  <c r="H49"/>
  <c r="H50" s="1"/>
  <c r="J31"/>
  <c r="H31"/>
  <c r="X31" i="1"/>
  <c r="W40"/>
  <c r="W43" s="1"/>
  <c r="T41"/>
  <c r="T44" s="1"/>
  <c r="R40"/>
  <c r="R43" s="1"/>
  <c r="J41"/>
  <c r="J44" s="1"/>
  <c r="T40"/>
  <c r="T43" s="1"/>
  <c r="X41"/>
  <c r="X44" s="1"/>
  <c r="M22" i="5"/>
  <c r="I22"/>
  <c r="I29" s="1"/>
  <c r="N22"/>
  <c r="K22"/>
  <c r="K42" i="1"/>
  <c r="K45" s="1"/>
  <c r="P22" i="5"/>
  <c r="O22"/>
  <c r="H22"/>
  <c r="C41" i="1"/>
  <c r="C44" s="1"/>
  <c r="G41"/>
  <c r="G44" s="1"/>
  <c r="D42"/>
  <c r="D45" s="1"/>
  <c r="N15" i="5"/>
  <c r="P21"/>
  <c r="E14"/>
  <c r="E14" i="6" s="1"/>
  <c r="J14" i="5"/>
  <c r="J14" i="6" s="1"/>
  <c r="J29" s="1"/>
  <c r="N14" i="7"/>
  <c r="L14" i="5"/>
  <c r="L14" i="6" s="1"/>
  <c r="L29" s="1"/>
  <c r="L37" s="1"/>
  <c r="L38" s="1"/>
  <c r="L80" s="1"/>
  <c r="G14" i="5"/>
  <c r="G14" i="6" s="1"/>
  <c r="G29" s="1"/>
  <c r="Y41" i="1"/>
  <c r="Y44" s="1"/>
  <c r="Z40"/>
  <c r="Z43" s="1"/>
  <c r="W41"/>
  <c r="W44" s="1"/>
  <c r="U40"/>
  <c r="U43" s="1"/>
  <c r="X28"/>
  <c r="AA40"/>
  <c r="AA43" s="1"/>
  <c r="AA41"/>
  <c r="AA44" s="1"/>
  <c r="U41"/>
  <c r="U44" s="1"/>
  <c r="S41"/>
  <c r="S44" s="1"/>
  <c r="R41"/>
  <c r="R44" s="1"/>
  <c r="S40"/>
  <c r="S43" s="1"/>
  <c r="Y40"/>
  <c r="Y43" s="1"/>
  <c r="F41"/>
  <c r="F44" s="1"/>
  <c r="H28"/>
  <c r="D41"/>
  <c r="D44" s="1"/>
  <c r="G42"/>
  <c r="G45" s="1"/>
  <c r="C42"/>
  <c r="C45" s="1"/>
  <c r="H41"/>
  <c r="H44" s="1"/>
  <c r="I42"/>
  <c r="I45" s="1"/>
  <c r="I41"/>
  <c r="I44" s="1"/>
  <c r="E41"/>
  <c r="E44" s="1"/>
  <c r="E42"/>
  <c r="E45" s="1"/>
  <c r="F42"/>
  <c r="F45" s="1"/>
  <c r="B42"/>
  <c r="B45" s="1"/>
  <c r="B41"/>
  <c r="B44" s="1"/>
  <c r="J42"/>
  <c r="J45" s="1"/>
  <c r="H29"/>
  <c r="H31"/>
  <c r="E30"/>
  <c r="K44" i="7" l="1"/>
  <c r="K47" s="1"/>
  <c r="L81" i="6"/>
  <c r="L84" s="1"/>
  <c r="N81"/>
  <c r="N84" s="1"/>
  <c r="O81"/>
  <c r="O84" s="1"/>
  <c r="I74"/>
  <c r="I77" s="1"/>
  <c r="E29"/>
  <c r="G37" s="1"/>
  <c r="G38" s="1"/>
  <c r="G80" s="1"/>
  <c r="G74"/>
  <c r="G77" s="1"/>
  <c r="F74"/>
  <c r="F77" s="1"/>
  <c r="E74"/>
  <c r="E77" s="1"/>
  <c r="H37"/>
  <c r="H38" s="1"/>
  <c r="H80" s="1"/>
  <c r="H74"/>
  <c r="H77" s="1"/>
  <c r="K74"/>
  <c r="K77" s="1"/>
  <c r="L74"/>
  <c r="L77" s="1"/>
  <c r="N39"/>
  <c r="N40" s="1"/>
  <c r="N41" s="1"/>
  <c r="N59" s="1"/>
  <c r="L39"/>
  <c r="L40" s="1"/>
  <c r="O39"/>
  <c r="O40" s="1"/>
  <c r="O41" s="1"/>
  <c r="O59" s="1"/>
  <c r="O63" s="1"/>
  <c r="L41"/>
  <c r="L59" s="1"/>
  <c r="L63" s="1"/>
  <c r="I37"/>
  <c r="I38" s="1"/>
  <c r="I80" s="1"/>
  <c r="K37"/>
  <c r="K38" s="1"/>
  <c r="K80" s="1"/>
  <c r="H32" i="7"/>
  <c r="H59" s="1"/>
  <c r="H58"/>
  <c r="H60" s="1"/>
  <c r="J32"/>
  <c r="J59" s="1"/>
  <c r="J58"/>
  <c r="J60" s="1"/>
  <c r="J61" s="1"/>
  <c r="N36" i="5"/>
  <c r="O36"/>
  <c r="N37" i="7"/>
  <c r="N48" s="1"/>
  <c r="N30"/>
  <c r="H15" i="6"/>
  <c r="K15"/>
  <c r="K14" i="7"/>
  <c r="L22" i="5"/>
  <c r="G22"/>
  <c r="G29" s="1"/>
  <c r="P16"/>
  <c r="K16"/>
  <c r="J22"/>
  <c r="J29" s="1"/>
  <c r="E22"/>
  <c r="P23"/>
  <c r="P29"/>
  <c r="O16"/>
  <c r="E14" i="7"/>
  <c r="N16" i="5"/>
  <c r="H18"/>
  <c r="H21" s="1"/>
  <c r="K21"/>
  <c r="K29" s="1"/>
  <c r="F37" i="6" l="1"/>
  <c r="F38" s="1"/>
  <c r="F80" s="1"/>
  <c r="F81" s="1"/>
  <c r="F84" s="1"/>
  <c r="N63"/>
  <c r="N62"/>
  <c r="E37"/>
  <c r="E38" s="1"/>
  <c r="E80" s="1"/>
  <c r="E81" s="1"/>
  <c r="E84" s="1"/>
  <c r="E85" s="1"/>
  <c r="E86" s="1"/>
  <c r="E87" s="1"/>
  <c r="K81"/>
  <c r="K84" s="1"/>
  <c r="G81"/>
  <c r="G84" s="1"/>
  <c r="I81"/>
  <c r="I84" s="1"/>
  <c r="H81"/>
  <c r="H84" s="1"/>
  <c r="L62"/>
  <c r="L64" s="1"/>
  <c r="L65" s="1"/>
  <c r="O85"/>
  <c r="O86" s="1"/>
  <c r="O87" s="1"/>
  <c r="N85"/>
  <c r="N86" s="1"/>
  <c r="N87" s="1"/>
  <c r="L85"/>
  <c r="L86" s="1"/>
  <c r="L87" s="1"/>
  <c r="O62"/>
  <c r="O64" s="1"/>
  <c r="O65" s="1"/>
  <c r="H39"/>
  <c r="H40" s="1"/>
  <c r="H41" s="1"/>
  <c r="H59" s="1"/>
  <c r="H63" s="1"/>
  <c r="K39"/>
  <c r="K40" s="1"/>
  <c r="K41" s="1"/>
  <c r="K59" s="1"/>
  <c r="K63" s="1"/>
  <c r="K36"/>
  <c r="L36"/>
  <c r="I16"/>
  <c r="H16"/>
  <c r="I36"/>
  <c r="H36"/>
  <c r="H61" i="7"/>
  <c r="H62"/>
  <c r="H63" s="1"/>
  <c r="N49"/>
  <c r="N50" s="1"/>
  <c r="P49"/>
  <c r="P50" s="1"/>
  <c r="P31"/>
  <c r="N31"/>
  <c r="E37"/>
  <c r="E48" s="1"/>
  <c r="E30"/>
  <c r="K37"/>
  <c r="K48" s="1"/>
  <c r="K30"/>
  <c r="N15" i="6"/>
  <c r="J16"/>
  <c r="E15"/>
  <c r="K16"/>
  <c r="L16"/>
  <c r="M16"/>
  <c r="M16" i="5"/>
  <c r="L16"/>
  <c r="M21"/>
  <c r="M29" s="1"/>
  <c r="H23"/>
  <c r="H24" s="1"/>
  <c r="H29"/>
  <c r="L21"/>
  <c r="N21"/>
  <c r="N29" s="1"/>
  <c r="E21"/>
  <c r="E29" s="1"/>
  <c r="H15"/>
  <c r="P24"/>
  <c r="O21"/>
  <c r="E15"/>
  <c r="L88" i="6" l="1"/>
  <c r="L89" s="1"/>
  <c r="L90" s="1"/>
  <c r="L91" s="1"/>
  <c r="O88"/>
  <c r="O89" s="1"/>
  <c r="O90" s="1"/>
  <c r="O91" s="1"/>
  <c r="E88"/>
  <c r="E89" s="1"/>
  <c r="E90" s="1"/>
  <c r="E91" s="1"/>
  <c r="E39"/>
  <c r="E40" s="1"/>
  <c r="N64"/>
  <c r="N66" s="1"/>
  <c r="N67" s="1"/>
  <c r="H85"/>
  <c r="H86" s="1"/>
  <c r="H87" s="1"/>
  <c r="I85"/>
  <c r="I86" s="1"/>
  <c r="I87" s="1"/>
  <c r="G85"/>
  <c r="G86" s="1"/>
  <c r="G87" s="1"/>
  <c r="K85"/>
  <c r="K86" s="1"/>
  <c r="K87" s="1"/>
  <c r="N88"/>
  <c r="N89" s="1"/>
  <c r="N90" s="1"/>
  <c r="N91" s="1"/>
  <c r="F85"/>
  <c r="F86" s="1"/>
  <c r="F87" s="1"/>
  <c r="E41"/>
  <c r="E59" s="1"/>
  <c r="E63" s="1"/>
  <c r="N65"/>
  <c r="N44"/>
  <c r="K44"/>
  <c r="G36"/>
  <c r="E44"/>
  <c r="F36"/>
  <c r="O44"/>
  <c r="H44"/>
  <c r="L44"/>
  <c r="E36"/>
  <c r="O16"/>
  <c r="N36"/>
  <c r="O36"/>
  <c r="K42"/>
  <c r="K43" s="1"/>
  <c r="M49" i="7"/>
  <c r="M50" s="1"/>
  <c r="K49"/>
  <c r="K50" s="1"/>
  <c r="G49"/>
  <c r="G50" s="1"/>
  <c r="E49"/>
  <c r="M31"/>
  <c r="K31"/>
  <c r="G31"/>
  <c r="E31"/>
  <c r="P32"/>
  <c r="P59" s="1"/>
  <c r="P58"/>
  <c r="P60" s="1"/>
  <c r="P61" s="1"/>
  <c r="N32"/>
  <c r="N59" s="1"/>
  <c r="N58"/>
  <c r="N60" s="1"/>
  <c r="K41" i="5"/>
  <c r="F41"/>
  <c r="E41"/>
  <c r="G41"/>
  <c r="F36"/>
  <c r="E36"/>
  <c r="G36"/>
  <c r="N41"/>
  <c r="H41"/>
  <c r="L41"/>
  <c r="I41"/>
  <c r="O41"/>
  <c r="H36"/>
  <c r="I36"/>
  <c r="H42" i="6"/>
  <c r="H43" s="1"/>
  <c r="F37" i="5"/>
  <c r="E37"/>
  <c r="G37"/>
  <c r="H37"/>
  <c r="H62" i="6"/>
  <c r="H64" s="1"/>
  <c r="H66" s="1"/>
  <c r="P16"/>
  <c r="N16"/>
  <c r="G16"/>
  <c r="F16"/>
  <c r="E16"/>
  <c r="M23" i="5"/>
  <c r="M24" s="1"/>
  <c r="E16"/>
  <c r="E23"/>
  <c r="E24" s="1"/>
  <c r="L23"/>
  <c r="L24" s="1"/>
  <c r="L29"/>
  <c r="L37" s="1"/>
  <c r="L38" s="1"/>
  <c r="O23"/>
  <c r="O24" s="1"/>
  <c r="O29"/>
  <c r="O37" s="1"/>
  <c r="O38" s="1"/>
  <c r="G16"/>
  <c r="F16"/>
  <c r="J16"/>
  <c r="H16"/>
  <c r="I16"/>
  <c r="I88" i="6" l="1"/>
  <c r="I89" s="1"/>
  <c r="I90" s="1"/>
  <c r="I91" s="1"/>
  <c r="K88"/>
  <c r="K89" s="1"/>
  <c r="K90" s="1"/>
  <c r="K91" s="1"/>
  <c r="F88"/>
  <c r="F89" s="1"/>
  <c r="F90" s="1"/>
  <c r="F91" s="1"/>
  <c r="G88"/>
  <c r="G89" s="1"/>
  <c r="G90" s="1"/>
  <c r="G91" s="1"/>
  <c r="H88"/>
  <c r="H89" s="1"/>
  <c r="H90" s="1"/>
  <c r="H91" s="1"/>
  <c r="E51" i="7"/>
  <c r="N42" i="6"/>
  <c r="N43" s="1"/>
  <c r="E45"/>
  <c r="N62" i="7"/>
  <c r="N63" s="1"/>
  <c r="N61"/>
  <c r="E50"/>
  <c r="G58"/>
  <c r="G60" s="1"/>
  <c r="G32"/>
  <c r="G59" s="1"/>
  <c r="M32"/>
  <c r="M59" s="1"/>
  <c r="M58"/>
  <c r="M60" s="1"/>
  <c r="M61" s="1"/>
  <c r="E58"/>
  <c r="E60" s="1"/>
  <c r="E32"/>
  <c r="E59" s="1"/>
  <c r="K32"/>
  <c r="K59" s="1"/>
  <c r="K58"/>
  <c r="K60" s="1"/>
  <c r="H67" i="6"/>
  <c r="H65"/>
  <c r="E39" i="5"/>
  <c r="O48"/>
  <c r="O49" s="1"/>
  <c r="H38"/>
  <c r="H48" s="1"/>
  <c r="H49" s="1"/>
  <c r="F38"/>
  <c r="F48" s="1"/>
  <c r="F49" s="1"/>
  <c r="K37"/>
  <c r="G38"/>
  <c r="G48" s="1"/>
  <c r="G49" s="1"/>
  <c r="E38"/>
  <c r="E48" s="1"/>
  <c r="E49" s="1"/>
  <c r="N37"/>
  <c r="K62" i="6"/>
  <c r="K64" s="1"/>
  <c r="K66" s="1"/>
  <c r="K61" i="7" l="1"/>
  <c r="K62"/>
  <c r="K63" s="1"/>
  <c r="E62"/>
  <c r="E63" s="1"/>
  <c r="E61"/>
  <c r="G61"/>
  <c r="E52"/>
  <c r="K67" i="6"/>
  <c r="K65"/>
  <c r="E50" i="5"/>
  <c r="E51" s="1"/>
  <c r="L48"/>
  <c r="L49" s="1"/>
  <c r="N38"/>
  <c r="N48" s="1"/>
  <c r="N39"/>
  <c r="N40" s="1"/>
  <c r="K38"/>
  <c r="K48" s="1"/>
  <c r="K49" s="1"/>
  <c r="K39"/>
  <c r="K40" s="1"/>
  <c r="E42" i="6"/>
  <c r="E40" i="5"/>
  <c r="E64" i="7" l="1"/>
  <c r="N50" i="5"/>
  <c r="N51" s="1"/>
  <c r="N49"/>
  <c r="E43" i="6"/>
  <c r="E46"/>
  <c r="K50" i="5"/>
  <c r="K51" s="1"/>
  <c r="E62" i="6"/>
  <c r="E64" s="1"/>
  <c r="E66" s="1"/>
  <c r="E68" s="1"/>
  <c r="E65" l="1"/>
  <c r="I33" i="5"/>
  <c r="I37" s="1"/>
  <c r="E42" s="1"/>
  <c r="E43" s="1"/>
  <c r="E69" i="6" l="1"/>
  <c r="E67"/>
  <c r="H39" i="5"/>
  <c r="I38"/>
  <c r="I48" s="1"/>
  <c r="H50" l="1"/>
  <c r="H51" s="1"/>
  <c r="I49"/>
  <c r="E52"/>
  <c r="H40"/>
  <c r="E65" i="7" l="1"/>
</calcChain>
</file>

<file path=xl/sharedStrings.xml><?xml version="1.0" encoding="utf-8"?>
<sst xmlns="http://schemas.openxmlformats.org/spreadsheetml/2006/main" count="802" uniqueCount="322">
  <si>
    <t>a</t>
  </si>
  <si>
    <t>L</t>
  </si>
  <si>
    <t>R</t>
  </si>
  <si>
    <t>a)</t>
  </si>
  <si>
    <t>&gt;</t>
  </si>
  <si>
    <t>vp</t>
  </si>
  <si>
    <t>vm</t>
  </si>
  <si>
    <t>k</t>
  </si>
  <si>
    <t>b)</t>
  </si>
  <si>
    <t>&lt;</t>
  </si>
  <si>
    <t>c)</t>
  </si>
  <si>
    <t>Hmin</t>
  </si>
  <si>
    <t>Hmax</t>
  </si>
  <si>
    <t>przyjęto</t>
  </si>
  <si>
    <t>A</t>
  </si>
  <si>
    <t>X</t>
  </si>
  <si>
    <t>Y</t>
  </si>
  <si>
    <t>Xs</t>
  </si>
  <si>
    <t>Ts</t>
  </si>
  <si>
    <t>H</t>
  </si>
  <si>
    <t>T0</t>
  </si>
  <si>
    <t>alfa</t>
  </si>
  <si>
    <t>beta</t>
  </si>
  <si>
    <t>tau</t>
  </si>
  <si>
    <t>PA=BK</t>
  </si>
  <si>
    <t>PK</t>
  </si>
  <si>
    <t>AB</t>
  </si>
  <si>
    <t>0+966.94</t>
  </si>
  <si>
    <t>1+879.26</t>
  </si>
  <si>
    <t>2+817.73</t>
  </si>
  <si>
    <t>2+128.68</t>
  </si>
  <si>
    <t>l</t>
  </si>
  <si>
    <t>x</t>
  </si>
  <si>
    <t>y</t>
  </si>
  <si>
    <t>b</t>
  </si>
  <si>
    <t>in</t>
  </si>
  <si>
    <t>i0</t>
  </si>
  <si>
    <t>id</t>
  </si>
  <si>
    <t>0,1a</t>
  </si>
  <si>
    <t>proj. 40</t>
  </si>
  <si>
    <t>proj. 45</t>
  </si>
  <si>
    <t>UWAGA: łuk pionowy w obrębie k.p.</t>
  </si>
  <si>
    <t>C</t>
  </si>
  <si>
    <t>CP</t>
  </si>
  <si>
    <t>O</t>
  </si>
  <si>
    <t>p</t>
  </si>
  <si>
    <t>Σ</t>
  </si>
  <si>
    <t>Natężenie miarodajne -rozkład kierunkowy</t>
  </si>
  <si>
    <t>PROSTO</t>
  </si>
  <si>
    <t>LEWO</t>
  </si>
  <si>
    <t>PRAWO</t>
  </si>
  <si>
    <t>ŁĄCZNIE:</t>
  </si>
  <si>
    <t>WLOT</t>
  </si>
  <si>
    <t>AW</t>
  </si>
  <si>
    <t>AL</t>
  </si>
  <si>
    <t>AP</t>
  </si>
  <si>
    <t>B</t>
  </si>
  <si>
    <t>D</t>
  </si>
  <si>
    <t>Główny</t>
  </si>
  <si>
    <t>PODPORZĄDKOWANIE</t>
  </si>
  <si>
    <t>Podporządkowany</t>
  </si>
  <si>
    <t>RELACJA</t>
  </si>
  <si>
    <t>BL</t>
  </si>
  <si>
    <t>BW</t>
  </si>
  <si>
    <t>BP</t>
  </si>
  <si>
    <t>CL</t>
  </si>
  <si>
    <t>CW</t>
  </si>
  <si>
    <t>DL</t>
  </si>
  <si>
    <t>DW</t>
  </si>
  <si>
    <t>DP</t>
  </si>
  <si>
    <t>Udział pojazdów ciężkich</t>
  </si>
  <si>
    <t>Łączne natężenie wlotu</t>
  </si>
  <si>
    <t>Podział kierunkowy wlotu</t>
  </si>
  <si>
    <t>Rząd</t>
  </si>
  <si>
    <t>Natężenia relacji nadrzędnych</t>
  </si>
  <si>
    <t>Graniczny odstęp czasu</t>
  </si>
  <si>
    <t>Odstęp czasu przy ruszaniu</t>
  </si>
  <si>
    <t>Przepustowość wyjściowa</t>
  </si>
  <si>
    <t>Wsp. struktury rodzajowej</t>
  </si>
  <si>
    <t>Przepust. relacji dławiącej</t>
  </si>
  <si>
    <t>Wsp. wykorzystania</t>
  </si>
  <si>
    <t>Krzywa</t>
  </si>
  <si>
    <t>Wsp. dławienia</t>
  </si>
  <si>
    <t>Wsp. korygujący</t>
  </si>
  <si>
    <t>Łączna wielkość dławienia</t>
  </si>
  <si>
    <t>Rzeczywista przepust. relacji</t>
  </si>
  <si>
    <t>Udział relacji w pasie ruchu</t>
  </si>
  <si>
    <t>Przepustowość pasa</t>
  </si>
  <si>
    <t>Przepustowość wlotu</t>
  </si>
  <si>
    <t>Przepustowość skrzyżowania</t>
  </si>
  <si>
    <t>Stopień wykorzystania pasa</t>
  </si>
  <si>
    <t>Stopień wykorzystania wlotu</t>
  </si>
  <si>
    <t>Straty czasu na pasie ruchu</t>
  </si>
  <si>
    <t>Straty czasu na wlocie</t>
  </si>
  <si>
    <t>Strata czasu na skrzyżowaniu</t>
  </si>
  <si>
    <t>d</t>
  </si>
  <si>
    <t>Poziom sprawności ruchu</t>
  </si>
  <si>
    <t>Średnica ronda</t>
  </si>
  <si>
    <t>Natężenia nadrzędne</t>
  </si>
  <si>
    <t>Przepustowość możliwa</t>
  </si>
  <si>
    <t>Przepustowość ronda</t>
  </si>
  <si>
    <t>PSR na wlocie</t>
  </si>
  <si>
    <t>PSR na rondzie</t>
  </si>
  <si>
    <t>G</t>
  </si>
  <si>
    <t>Ż</t>
  </si>
  <si>
    <t>OBLICZENIE PRZEPUSTOWOŚCI SKRZYŻOWANIA Z SYGNALIZACJĄ</t>
  </si>
  <si>
    <t>Długość światła żółtego</t>
  </si>
  <si>
    <t>Długość światła zielonego</t>
  </si>
  <si>
    <t>Długość cyklu</t>
  </si>
  <si>
    <t>T</t>
  </si>
  <si>
    <t>Efektywny sygnał zielony</t>
  </si>
  <si>
    <t>Efektywny sygnał czerwony</t>
  </si>
  <si>
    <t>Czas tracony</t>
  </si>
  <si>
    <t>Wyjściowe nat. nasycenia</t>
  </si>
  <si>
    <t>Szerokość pasa ruchu</t>
  </si>
  <si>
    <t>w</t>
  </si>
  <si>
    <t>S</t>
  </si>
  <si>
    <t>Promień skrętu</t>
  </si>
  <si>
    <t>Udział sygnału ziel. efektyw.</t>
  </si>
  <si>
    <t>λ</t>
  </si>
  <si>
    <t>Natężenie nasycenia rel.</t>
  </si>
  <si>
    <t>Natężenie nasycenia pasa</t>
  </si>
  <si>
    <t>Nat. nas. obl. grupy pasów</t>
  </si>
  <si>
    <t>Przepustowość grupy pasów</t>
  </si>
  <si>
    <t>Stopień obciążenia wlotu</t>
  </si>
  <si>
    <t>Udział grupy pasów</t>
  </si>
  <si>
    <t>Stopień obciążenia skrz.</t>
  </si>
  <si>
    <t>OKREŚLENIE POZIOMU SWOBODY RUCHU SKRZYŻOWANIA Z SYGNALIZACJĄ</t>
  </si>
  <si>
    <t>Wskaźnik rozproszenia</t>
  </si>
  <si>
    <t>Typ dopływu</t>
  </si>
  <si>
    <t>3 - dopływy losowe</t>
  </si>
  <si>
    <t>Wsp. koordynacji</t>
  </si>
  <si>
    <t>Wsp. dojazdu kolumny</t>
  </si>
  <si>
    <t>PG</t>
  </si>
  <si>
    <t>Śr. straty czasu z zatrzymań</t>
  </si>
  <si>
    <t>Śr. straty czasu z przeciążeń</t>
  </si>
  <si>
    <t>Wsp. sąsiednich sygnalizacji</t>
  </si>
  <si>
    <t>1 -brak wpływu sąsiednich sygnalizacji</t>
  </si>
  <si>
    <t>Śr. straty czasu na wlocie</t>
  </si>
  <si>
    <t>Śr. str.czasu na skrzyżowaniu</t>
  </si>
  <si>
    <t>PSR na skrzyżowaniu</t>
  </si>
  <si>
    <t>MONIUSZKI PŁN.</t>
  </si>
  <si>
    <t>MONIUSZKI PŁD.</t>
  </si>
  <si>
    <t>GEN. SIKORSKIEGO WSCH.</t>
  </si>
  <si>
    <t>GEN. SIKORSKIEGO ZACH.</t>
  </si>
  <si>
    <t>k15</t>
  </si>
  <si>
    <t>AL + AW</t>
  </si>
  <si>
    <t>PAS</t>
  </si>
  <si>
    <t>BL+BW</t>
  </si>
  <si>
    <t>BW+BP</t>
  </si>
  <si>
    <t>CW+CP</t>
  </si>
  <si>
    <t>DW+DP</t>
  </si>
  <si>
    <t>Natężenie na pasie ruchu</t>
  </si>
  <si>
    <t>Udział pasa ruchu na wlocie</t>
  </si>
  <si>
    <t>j</t>
  </si>
  <si>
    <t>r</t>
  </si>
  <si>
    <t>wl</t>
  </si>
  <si>
    <t>-</t>
  </si>
  <si>
    <t>Okres analizy</t>
  </si>
  <si>
    <t>Natężenie obliczeniowe</t>
  </si>
  <si>
    <t>Metoda MOP-SBS-04 z pominięciem wpływu ruchu pieszych</t>
  </si>
  <si>
    <t>Pochylenie wlotu</t>
  </si>
  <si>
    <t>Wskaźnik kierunku pochylenia</t>
  </si>
  <si>
    <t>i</t>
  </si>
  <si>
    <t>Metoda MOP-SZS-04 z pominięciem wpływu ruchu pieszych</t>
  </si>
  <si>
    <t>4- dobra koordynacja</t>
  </si>
  <si>
    <t>Stopień obciążenia gr. pasów</t>
  </si>
  <si>
    <t>Stopień wykorzystania skrz.</t>
  </si>
  <si>
    <t>Udział pasa ruchu na skrz.</t>
  </si>
  <si>
    <t>PSR na pasie ruchu</t>
  </si>
  <si>
    <t>Udział poj. doj. przy syg. ziel.</t>
  </si>
  <si>
    <t>0,5 -sygnalizacja stałoczasowa*</t>
  </si>
  <si>
    <t>*miarodajne w szczycie przy założeniu stałego dopływu pojazdów na wlotach podporządkowanych</t>
  </si>
  <si>
    <t>Śr. straty czasu gr. pasów</t>
  </si>
  <si>
    <t>PSR w gr. pasów</t>
  </si>
  <si>
    <t>OKREŚLENIE POZIOMU SWOBODY RUCHU SKRZYŻOWANIA BEZ SYGNALIZACJI</t>
  </si>
  <si>
    <t>Nie wyznacza się.</t>
  </si>
  <si>
    <t>OBLICZENIE PRZEPUSTOWOŚCI SKRZYŻOWANIA BEZ SYGNALIZACJI</t>
  </si>
  <si>
    <t>OBLICZENIE PRZEPUSTOWOŚCI RONDA TURBINOWEGO</t>
  </si>
  <si>
    <t>OKREŚLENIE POZIOMU SWOBODY RUCHU NA RONDZIE TURBINOWYM</t>
  </si>
  <si>
    <t>AL+AW</t>
  </si>
  <si>
    <t>AW+AP</t>
  </si>
  <si>
    <t>CL+CW</t>
  </si>
  <si>
    <t>DL+DW</t>
  </si>
  <si>
    <t>Natężenie relacji na pasie ruchu</t>
  </si>
  <si>
    <t>Na podstawie metody MOP-R-04. Pominięto wpływ ruchu pieszych i zawracania oraz uwzględniono sposób pracy ronda turbinowego.</t>
  </si>
  <si>
    <t>Semi-</t>
  </si>
  <si>
    <t>Jedno-</t>
  </si>
  <si>
    <t>Pas jak na rondzie …-pasowym</t>
  </si>
  <si>
    <t>Dwu-</t>
  </si>
  <si>
    <t>Przepustowość wyjściowa*</t>
  </si>
  <si>
    <t>*dla pasów pracujących: 1) jak wlot jednopasowy -przestowość wyjściowa wlotu jednopasowego 2) jak semi- i dwupasowy -połowa przepustowości wyjściowej wlotu</t>
  </si>
  <si>
    <t>Udział pasa na rondzie</t>
  </si>
  <si>
    <t>Straty czasu na rondzie</t>
  </si>
  <si>
    <t>Straty czasu na pasie</t>
  </si>
  <si>
    <t>PSR na pasie</t>
  </si>
  <si>
    <t>St. wykorzystania ronda</t>
  </si>
  <si>
    <t>Natężenie ruchu na pasie</t>
  </si>
  <si>
    <t>ITERACYJNE OBLICZENIE PRZEPUSTOWOŚCI RONDA**</t>
  </si>
  <si>
    <t>Wsk. zmienności ruchu</t>
  </si>
  <si>
    <t>Natężenie miarodajne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</si>
  <si>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</si>
  <si>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</si>
  <si>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</si>
  <si>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</si>
  <si>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</si>
  <si>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</si>
  <si>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g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</si>
  <si>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</si>
  <si>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</si>
  <si>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</si>
  <si>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</si>
  <si>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</si>
  <si>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</si>
  <si>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</si>
  <si>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</si>
  <si>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</si>
  <si>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</si>
  <si>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</si>
  <si>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ρ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</si>
  <si>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</si>
  <si>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</si>
  <si>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j,sk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</si>
  <si>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</si>
  <si>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ρ</t>
    </r>
    <r>
      <rPr>
        <vertAlign val="subscript"/>
        <sz val="11"/>
        <color theme="1"/>
        <rFont val="Czcionka tekstu podstawowego"/>
        <charset val="238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</si>
  <si>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</si>
  <si>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</si>
  <si>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</si>
  <si>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</si>
  <si>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+t</t>
    </r>
    <r>
      <rPr>
        <vertAlign val="subscript"/>
        <sz val="11"/>
        <color theme="1"/>
        <rFont val="Calibri"/>
        <family val="2"/>
        <charset val="238"/>
      </rPr>
      <t>z</t>
    </r>
  </si>
  <si>
    <r>
      <t>G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</si>
  <si>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</si>
  <si>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0</t>
    </r>
  </si>
  <si>
    <r>
      <t>δ</t>
    </r>
    <r>
      <rPr>
        <vertAlign val="subscript"/>
        <sz val="11"/>
        <color theme="1"/>
        <rFont val="Czcionka tekstu podstawowego"/>
        <charset val="238"/>
      </rPr>
      <t>i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</si>
  <si>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</si>
  <si>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</si>
  <si>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</si>
  <si>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</si>
  <si>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</si>
  <si>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</si>
  <si>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sk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</si>
  <si>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</si>
  <si>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PG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</si>
  <si>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</si>
  <si>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</si>
  <si>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</si>
  <si>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</si>
  <si>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</si>
  <si>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</si>
  <si>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</si>
  <si>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</si>
  <si>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</si>
  <si>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</si>
  <si>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nj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</si>
  <si>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z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</si>
  <si>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</si>
  <si>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</si>
  <si>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</si>
  <si>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t>ρ</t>
    </r>
    <r>
      <rPr>
        <vertAlign val="subscript"/>
        <sz val="11"/>
        <color theme="1"/>
        <rFont val="Czcionka tekstu podstawowego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</si>
  <si>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</si>
  <si>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</si>
  <si>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</si>
  <si>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</si>
  <si>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</si>
  <si>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mj</t>
    </r>
  </si>
  <si>
    <t>Obliczenie przepustowości i ocena warunków ruchu</t>
  </si>
  <si>
    <t>RONDO TURBINOWE</t>
  </si>
  <si>
    <t>Dane ruchowe:</t>
  </si>
  <si>
    <t>SKRZYŻOWANIE Z SYGNALIZACJĄ</t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</si>
  <si>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nwl</t>
    </r>
  </si>
  <si>
    <r>
      <t>C*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</si>
  <si>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</si>
  <si>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rPr>
        <sz val="11"/>
        <color theme="1"/>
        <rFont val="Czcionka tekstu podstawowego"/>
        <charset val="238"/>
      </rPr>
      <t>ρ*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</si>
  <si>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rrnd</t>
    </r>
  </si>
  <si>
    <r>
      <t>Q*</t>
    </r>
    <r>
      <rPr>
        <b/>
        <vertAlign val="subscript"/>
        <sz val="11"/>
        <color theme="1"/>
        <rFont val="Calibri"/>
        <family val="2"/>
        <charset val="238"/>
        <scheme val="minor"/>
      </rPr>
      <t>rnd</t>
    </r>
  </si>
  <si>
    <t>Suma natężeń wirtualnych</t>
  </si>
  <si>
    <t>Natężenie wirtualne relacji na pasie ruchu</t>
  </si>
  <si>
    <t>Łączne natężenie wirt. pasa</t>
  </si>
  <si>
    <t>Nadrzędne natężenia wirt.</t>
  </si>
  <si>
    <t>**wynik zaniżony: założono równomierny podział natężeń na pasy na wlotach;  w rzeczywistości podział będzie proporcjonalny do przepustowości pasów</t>
  </si>
  <si>
    <r>
      <t>Okres analizy: 15 minut (obliczeniowe wg wsp. k</t>
    </r>
    <r>
      <rPr>
        <vertAlign val="subscript"/>
        <sz val="11"/>
        <rFont val="Calibri"/>
        <family val="2"/>
        <charset val="238"/>
        <scheme val="minor"/>
      </rPr>
      <t>15</t>
    </r>
    <r>
      <rPr>
        <sz val="11"/>
        <rFont val="Calibri"/>
        <family val="2"/>
        <charset val="238"/>
        <scheme val="minor"/>
      </rPr>
      <t>)</t>
    </r>
  </si>
  <si>
    <t>Przepustowość możliwa wirt.</t>
  </si>
  <si>
    <t>Wirt. st. wykorzystania pasa</t>
  </si>
  <si>
    <r>
      <t>ρ</t>
    </r>
    <r>
      <rPr>
        <vertAlign val="subscript"/>
        <sz val="11"/>
        <color theme="1"/>
        <rFont val="Czcionka tekstu podstawowego"/>
        <charset val="238"/>
      </rPr>
      <t>rnd</t>
    </r>
  </si>
  <si>
    <t>[P/h]</t>
  </si>
  <si>
    <t>Jednostki</t>
  </si>
  <si>
    <t>[-]</t>
  </si>
  <si>
    <t>[m]</t>
  </si>
  <si>
    <t>[s]</t>
  </si>
  <si>
    <t>[h]</t>
  </si>
  <si>
    <t>[E/h]</t>
  </si>
  <si>
    <t>OBLICZENIE DŁUGOŚCI KOLEJEK</t>
  </si>
  <si>
    <t>Stopień obciążenia pasa</t>
  </si>
  <si>
    <t>Wsp. typu sterowania</t>
  </si>
  <si>
    <t>Kolejka pozostająca</t>
  </si>
  <si>
    <t>Średnia wartość maks. kolejek</t>
  </si>
  <si>
    <t>Przepustowość pasa ruchu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</si>
  <si>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</si>
  <si>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</si>
  <si>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t>Kwantyl 95% kolejki</t>
  </si>
  <si>
    <t>Udział poj.ciężkich na pasie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</si>
  <si>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C,CP+A,j</t>
    </r>
  </si>
  <si>
    <t>Długość kolejki, kwantyl 95%</t>
  </si>
  <si>
    <t>Wsp. kwantyla 95% kolejki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</si>
  <si>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</si>
  <si>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t>Dł. w kolejce poj. ciężkiego</t>
  </si>
  <si>
    <t>Dł. w kolejce poj. lekkiego</t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</si>
  <si>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kw95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</si>
  <si>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p,l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</si>
  <si>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</si>
  <si>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</si>
  <si>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</si>
  <si>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t>Długość kolejki średniej maks.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</si>
  <si>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Km</t>
    </r>
  </si>
  <si>
    <t>Przeciętna dł. poj.w kolejce</t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</si>
  <si>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</si>
  <si>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</si>
  <si>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p,c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</si>
  <si>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</si>
  <si>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[P]</t>
  </si>
  <si>
    <t>Rok 2016 - szczyt popołudniowy</t>
  </si>
  <si>
    <t>SKRZYŻOWANIE BEZ SYGNALIZACJI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</si>
</sst>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%"/>
    <numFmt numFmtId="167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9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10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8" xfId="0" applyBorder="1"/>
    <xf numFmtId="0" fontId="0" fillId="0" borderId="10" xfId="0" applyBorder="1"/>
    <xf numFmtId="0" fontId="0" fillId="0" borderId="13" xfId="0" applyBorder="1"/>
    <xf numFmtId="0" fontId="0" fillId="0" borderId="17" xfId="0" applyBorder="1"/>
    <xf numFmtId="0" fontId="2" fillId="0" borderId="10" xfId="0" applyFont="1" applyBorder="1"/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10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3" fillId="0" borderId="13" xfId="0" applyFont="1" applyBorder="1"/>
    <xf numFmtId="166" fontId="0" fillId="0" borderId="4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9" fontId="0" fillId="0" borderId="16" xfId="1" applyNumberFormat="1" applyFont="1" applyBorder="1" applyAlignment="1">
      <alignment horizontal="center"/>
    </xf>
    <xf numFmtId="9" fontId="0" fillId="0" borderId="12" xfId="1" applyNumberFormat="1" applyFont="1" applyBorder="1" applyAlignment="1">
      <alignment horizontal="center"/>
    </xf>
    <xf numFmtId="9" fontId="0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29" xfId="0" applyFont="1" applyBorder="1"/>
    <xf numFmtId="0" fontId="0" fillId="0" borderId="29" xfId="0" applyBorder="1"/>
    <xf numFmtId="0" fontId="0" fillId="0" borderId="37" xfId="0" applyBorder="1"/>
    <xf numFmtId="0" fontId="0" fillId="0" borderId="4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/>
    <xf numFmtId="0" fontId="0" fillId="0" borderId="13" xfId="0" applyFont="1" applyBorder="1"/>
    <xf numFmtId="0" fontId="4" fillId="0" borderId="10" xfId="0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8" xfId="0" applyFill="1" applyBorder="1"/>
    <xf numFmtId="0" fontId="3" fillId="0" borderId="10" xfId="0" applyFont="1" applyFill="1" applyBorder="1"/>
    <xf numFmtId="0" fontId="0" fillId="0" borderId="57" xfId="0" applyFill="1" applyBorder="1"/>
    <xf numFmtId="0" fontId="0" fillId="0" borderId="40" xfId="0" applyFill="1" applyBorder="1"/>
    <xf numFmtId="0" fontId="0" fillId="0" borderId="29" xfId="0" applyFill="1" applyBorder="1"/>
    <xf numFmtId="0" fontId="3" fillId="0" borderId="8" xfId="0" applyFont="1" applyFill="1" applyBorder="1"/>
    <xf numFmtId="0" fontId="3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1" applyNumberFormat="1" applyFont="1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0" borderId="16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Border="1"/>
    <xf numFmtId="0" fontId="0" fillId="0" borderId="63" xfId="0" applyBorder="1"/>
    <xf numFmtId="0" fontId="3" fillId="0" borderId="44" xfId="0" applyFon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 applyFill="1" applyBorder="1"/>
    <xf numFmtId="0" fontId="5" fillId="0" borderId="0" xfId="0" applyFont="1"/>
    <xf numFmtId="0" fontId="0" fillId="0" borderId="12" xfId="0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57" xfId="0" applyFont="1" applyBorder="1"/>
    <xf numFmtId="0" fontId="4" fillId="0" borderId="13" xfId="0" applyFont="1" applyBorder="1"/>
    <xf numFmtId="0" fontId="0" fillId="0" borderId="6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0" fontId="3" fillId="0" borderId="10" xfId="0" applyFont="1" applyBorder="1"/>
    <xf numFmtId="167" fontId="0" fillId="0" borderId="6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3" fillId="0" borderId="17" xfId="0" applyFont="1" applyFill="1" applyBorder="1"/>
    <xf numFmtId="0" fontId="0" fillId="0" borderId="69" xfId="0" applyBorder="1"/>
    <xf numFmtId="9" fontId="0" fillId="0" borderId="38" xfId="0" applyNumberFormat="1" applyBorder="1" applyAlignment="1">
      <alignment horizontal="center"/>
    </xf>
    <xf numFmtId="9" fontId="0" fillId="0" borderId="68" xfId="1" applyFont="1" applyBorder="1" applyAlignment="1">
      <alignment horizontal="center"/>
    </xf>
    <xf numFmtId="9" fontId="0" fillId="0" borderId="40" xfId="1" applyFont="1" applyBorder="1" applyAlignment="1">
      <alignment horizontal="center"/>
    </xf>
    <xf numFmtId="0" fontId="3" fillId="0" borderId="53" xfId="0" applyFont="1" applyBorder="1"/>
    <xf numFmtId="0" fontId="3" fillId="0" borderId="65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15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0" fillId="0" borderId="67" xfId="0" applyBorder="1"/>
    <xf numFmtId="9" fontId="0" fillId="0" borderId="11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0" fontId="4" fillId="0" borderId="64" xfId="0" applyFont="1" applyBorder="1"/>
    <xf numFmtId="0" fontId="0" fillId="0" borderId="65" xfId="0" applyFill="1" applyBorder="1"/>
    <xf numFmtId="9" fontId="0" fillId="0" borderId="6" xfId="1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3" fillId="0" borderId="17" xfId="0" applyFont="1" applyBorder="1"/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/>
    <xf numFmtId="0" fontId="0" fillId="0" borderId="53" xfId="0" applyBorder="1"/>
    <xf numFmtId="0" fontId="0" fillId="0" borderId="10" xfId="0" applyFont="1" applyBorder="1" applyAlignment="1">
      <alignment horizontal="center"/>
    </xf>
    <xf numFmtId="9" fontId="1" fillId="0" borderId="17" xfId="1" applyFont="1" applyBorder="1" applyAlignment="1">
      <alignment horizontal="center"/>
    </xf>
    <xf numFmtId="9" fontId="1" fillId="0" borderId="10" xfId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2" xfId="0" applyFont="1" applyBorder="1"/>
    <xf numFmtId="0" fontId="0" fillId="0" borderId="2" xfId="0" applyFont="1" applyBorder="1" applyAlignment="1">
      <alignment horizontal="center"/>
    </xf>
    <xf numFmtId="0" fontId="3" fillId="0" borderId="40" xfId="0" applyFont="1" applyBorder="1"/>
    <xf numFmtId="0" fontId="2" fillId="0" borderId="17" xfId="0" applyFont="1" applyBorder="1"/>
    <xf numFmtId="0" fontId="0" fillId="0" borderId="32" xfId="0" applyFill="1" applyBorder="1"/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4" xfId="0" applyBorder="1"/>
    <xf numFmtId="0" fontId="0" fillId="0" borderId="8" xfId="0" applyFont="1" applyFill="1" applyBorder="1"/>
    <xf numFmtId="0" fontId="0" fillId="3" borderId="0" xfId="0" applyFill="1"/>
    <xf numFmtId="0" fontId="0" fillId="0" borderId="20" xfId="0" applyBorder="1" applyAlignment="1">
      <alignment horizontal="center"/>
    </xf>
    <xf numFmtId="9" fontId="0" fillId="0" borderId="67" xfId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0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9" fontId="0" fillId="0" borderId="67" xfId="1" applyNumberFormat="1" applyFont="1" applyBorder="1" applyAlignment="1">
      <alignment horizontal="center"/>
    </xf>
    <xf numFmtId="9" fontId="1" fillId="0" borderId="53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" fillId="0" borderId="74" xfId="0" applyFont="1" applyBorder="1" applyAlignment="1">
      <alignment vertical="center"/>
    </xf>
    <xf numFmtId="166" fontId="0" fillId="0" borderId="2" xfId="0" applyNumberFormat="1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7" xfId="0" applyBorder="1" applyAlignment="1">
      <alignment horizontal="center"/>
    </xf>
    <xf numFmtId="1" fontId="0" fillId="0" borderId="38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0" fillId="0" borderId="69" xfId="0" applyFill="1" applyBorder="1"/>
    <xf numFmtId="0" fontId="0" fillId="0" borderId="64" xfId="0" applyFill="1" applyBorder="1"/>
    <xf numFmtId="1" fontId="0" fillId="0" borderId="4" xfId="0" applyNumberFormat="1" applyBorder="1" applyAlignment="1">
      <alignment horizontal="center"/>
    </xf>
    <xf numFmtId="1" fontId="0" fillId="0" borderId="68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77" xfId="0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42" xfId="0" applyBorder="1"/>
    <xf numFmtId="1" fontId="0" fillId="0" borderId="1" xfId="0" applyNumberFormat="1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7" xfId="0" applyNumberFormat="1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9" fontId="0" fillId="0" borderId="4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167" fontId="0" fillId="0" borderId="15" xfId="0" applyNumberFormat="1" applyFont="1" applyBorder="1" applyAlignment="1">
      <alignment horizontal="center"/>
    </xf>
    <xf numFmtId="167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67" fontId="0" fillId="0" borderId="14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167" fontId="0" fillId="0" borderId="10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0" fillId="0" borderId="57" xfId="0" applyBorder="1"/>
    <xf numFmtId="0" fontId="0" fillId="0" borderId="10" xfId="0" applyFont="1" applyBorder="1"/>
    <xf numFmtId="0" fontId="0" fillId="0" borderId="8" xfId="0" applyFont="1" applyBorder="1"/>
    <xf numFmtId="0" fontId="0" fillId="0" borderId="17" xfId="0" applyFont="1" applyBorder="1"/>
    <xf numFmtId="9" fontId="0" fillId="0" borderId="65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9" fontId="0" fillId="0" borderId="67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" fontId="3" fillId="0" borderId="53" xfId="1" applyNumberFormat="1" applyFont="1" applyBorder="1" applyAlignment="1">
      <alignment horizontal="center"/>
    </xf>
    <xf numFmtId="1" fontId="3" fillId="0" borderId="62" xfId="1" applyNumberFormat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9" fontId="0" fillId="0" borderId="69" xfId="1" applyFont="1" applyBorder="1" applyAlignment="1">
      <alignment horizontal="center"/>
    </xf>
    <xf numFmtId="9" fontId="0" fillId="0" borderId="58" xfId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68" xfId="0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65" xfId="1" applyFont="1" applyBorder="1" applyAlignment="1">
      <alignment horizontal="center"/>
    </xf>
    <xf numFmtId="167" fontId="0" fillId="0" borderId="6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9" fontId="0" fillId="0" borderId="51" xfId="1" applyFont="1" applyBorder="1" applyAlignment="1">
      <alignment horizontal="center"/>
    </xf>
    <xf numFmtId="9" fontId="0" fillId="0" borderId="52" xfId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9" fontId="0" fillId="0" borderId="66" xfId="1" applyNumberFormat="1" applyFont="1" applyBorder="1" applyAlignment="1">
      <alignment horizontal="center"/>
    </xf>
    <xf numFmtId="9" fontId="0" fillId="0" borderId="6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6" xfId="1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22" xfId="1" applyFont="1" applyBorder="1" applyAlignment="1">
      <alignment horizontal="center"/>
    </xf>
    <xf numFmtId="1" fontId="3" fillId="0" borderId="65" xfId="1" applyNumberFormat="1" applyFont="1" applyBorder="1" applyAlignment="1">
      <alignment horizontal="center"/>
    </xf>
    <xf numFmtId="1" fontId="3" fillId="0" borderId="35" xfId="1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9" fontId="1" fillId="0" borderId="20" xfId="1" applyFont="1" applyBorder="1" applyAlignment="1">
      <alignment horizontal="center"/>
    </xf>
    <xf numFmtId="9" fontId="1" fillId="0" borderId="21" xfId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9" xfId="0" applyBorder="1" applyAlignment="1">
      <alignment horizontal="center"/>
    </xf>
    <xf numFmtId="9" fontId="0" fillId="0" borderId="41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58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69" xfId="0" applyNumberFormat="1" applyBorder="1" applyAlignment="1">
      <alignment horizontal="center"/>
    </xf>
    <xf numFmtId="167" fontId="0" fillId="0" borderId="58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9" fontId="0" fillId="0" borderId="3" xfId="1" applyFont="1" applyBorder="1" applyAlignment="1">
      <alignment horizontal="center"/>
    </xf>
    <xf numFmtId="0" fontId="0" fillId="0" borderId="52" xfId="0" applyBorder="1"/>
    <xf numFmtId="0" fontId="0" fillId="0" borderId="58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32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20" xfId="1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3" xfId="0" applyBorder="1"/>
    <xf numFmtId="0" fontId="0" fillId="0" borderId="18" xfId="0" applyBorder="1"/>
    <xf numFmtId="0" fontId="3" fillId="0" borderId="53" xfId="0" applyFont="1" applyBorder="1" applyAlignment="1">
      <alignment horizontal="center"/>
    </xf>
    <xf numFmtId="167" fontId="3" fillId="0" borderId="4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7" fontId="3" fillId="0" borderId="61" xfId="0" applyNumberFormat="1" applyFont="1" applyBorder="1" applyAlignment="1">
      <alignment horizontal="center"/>
    </xf>
    <xf numFmtId="167" fontId="3" fillId="0" borderId="62" xfId="0" applyNumberFormat="1" applyFont="1" applyBorder="1" applyAlignment="1">
      <alignment horizontal="center"/>
    </xf>
    <xf numFmtId="167" fontId="3" fillId="0" borderId="54" xfId="0" applyNumberFormat="1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9" fontId="0" fillId="0" borderId="33" xfId="1" applyFont="1" applyBorder="1" applyAlignment="1">
      <alignment horizontal="center"/>
    </xf>
    <xf numFmtId="9" fontId="0" fillId="0" borderId="34" xfId="1" applyFont="1" applyBorder="1" applyAlignment="1">
      <alignment horizontal="center"/>
    </xf>
    <xf numFmtId="9" fontId="0" fillId="0" borderId="35" xfId="1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2" xfId="0" applyBorder="1"/>
    <xf numFmtId="0" fontId="0" fillId="0" borderId="59" xfId="0" applyBorder="1"/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3" fillId="0" borderId="77" xfId="0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50" xfId="0" applyBorder="1"/>
    <xf numFmtId="0" fontId="0" fillId="0" borderId="1" xfId="0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0" fontId="0" fillId="0" borderId="2" xfId="0" applyBorder="1"/>
    <xf numFmtId="0" fontId="0" fillId="0" borderId="7" xfId="0" applyFont="1" applyBorder="1"/>
    <xf numFmtId="0" fontId="3" fillId="0" borderId="80" xfId="0" applyFont="1" applyBorder="1" applyAlignment="1">
      <alignment horizontal="center"/>
    </xf>
    <xf numFmtId="0" fontId="0" fillId="0" borderId="43" xfId="0" applyBorder="1"/>
    <xf numFmtId="1" fontId="0" fillId="0" borderId="1" xfId="0" applyNumberFormat="1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0" fillId="0" borderId="15" xfId="0" applyBorder="1" applyAlignment="1">
      <alignment horizontal="center"/>
    </xf>
    <xf numFmtId="0" fontId="0" fillId="0" borderId="65" xfId="0" applyBorder="1"/>
    <xf numFmtId="167" fontId="0" fillId="0" borderId="7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9" fontId="0" fillId="0" borderId="2" xfId="1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0" fillId="0" borderId="10" xfId="0" applyNumberFormat="1" applyFon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166" fontId="1" fillId="0" borderId="65" xfId="1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50" xfId="1" applyFont="1" applyBorder="1" applyAlignment="1">
      <alignment horizontal="center"/>
    </xf>
    <xf numFmtId="0" fontId="0" fillId="0" borderId="50" xfId="0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80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6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9" fontId="1" fillId="0" borderId="33" xfId="1" applyFont="1" applyBorder="1" applyAlignment="1">
      <alignment horizontal="center"/>
    </xf>
    <xf numFmtId="9" fontId="1" fillId="0" borderId="15" xfId="1" applyFont="1" applyBorder="1" applyAlignment="1">
      <alignment horizontal="center"/>
    </xf>
    <xf numFmtId="9" fontId="1" fillId="0" borderId="19" xfId="1" applyFont="1" applyBorder="1" applyAlignment="1">
      <alignment horizontal="center"/>
    </xf>
    <xf numFmtId="9" fontId="1" fillId="0" borderId="4" xfId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7" fontId="3" fillId="0" borderId="33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167" fontId="3" fillId="0" borderId="35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51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6" fontId="0" fillId="0" borderId="19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C54"/>
  <sheetViews>
    <sheetView topLeftCell="K16" workbookViewId="0">
      <selection activeCell="S51" sqref="S51"/>
    </sheetView>
  </sheetViews>
  <sheetFormatPr defaultRowHeight="15"/>
  <cols>
    <col min="4" max="4" width="9.28515625" bestFit="1" customWidth="1"/>
  </cols>
  <sheetData>
    <row r="3" spans="2:24">
      <c r="B3" t="s">
        <v>30</v>
      </c>
      <c r="D3" t="s">
        <v>29</v>
      </c>
      <c r="R3" t="s">
        <v>27</v>
      </c>
      <c r="T3" t="s">
        <v>28</v>
      </c>
    </row>
    <row r="4" spans="2:24">
      <c r="B4" t="s">
        <v>21</v>
      </c>
      <c r="C4">
        <v>39.479999999999997</v>
      </c>
      <c r="D4">
        <f>RADIANS(C4)</f>
        <v>0.68905598868736129</v>
      </c>
      <c r="F4" t="s">
        <v>39</v>
      </c>
      <c r="R4" t="s">
        <v>21</v>
      </c>
      <c r="S4">
        <v>45</v>
      </c>
      <c r="T4">
        <f>RADIANS(S4)</f>
        <v>0.78539816339744828</v>
      </c>
      <c r="V4" t="s">
        <v>40</v>
      </c>
    </row>
    <row r="5" spans="2:24">
      <c r="B5" t="s">
        <v>2</v>
      </c>
      <c r="C5">
        <v>1000</v>
      </c>
      <c r="R5" t="s">
        <v>2</v>
      </c>
      <c r="S5">
        <v>675</v>
      </c>
    </row>
    <row r="6" spans="2:24">
      <c r="B6" t="s">
        <v>5</v>
      </c>
      <c r="C6">
        <f>vm</f>
        <v>80</v>
      </c>
      <c r="D6">
        <v>60</v>
      </c>
    </row>
    <row r="7" spans="2:24">
      <c r="B7" t="s">
        <v>6</v>
      </c>
      <c r="C7">
        <v>80</v>
      </c>
    </row>
    <row r="10" spans="2:24">
      <c r="B10" t="s">
        <v>3</v>
      </c>
      <c r="C10" t="s">
        <v>0</v>
      </c>
      <c r="D10" t="s">
        <v>4</v>
      </c>
      <c r="E10" s="1">
        <f>ROUND(SQRT(vp^3/(47*H10)),2)</f>
        <v>147.6</v>
      </c>
      <c r="G10" t="s">
        <v>7</v>
      </c>
      <c r="H10">
        <v>0.5</v>
      </c>
      <c r="S10" t="s">
        <v>0</v>
      </c>
      <c r="T10" t="s">
        <v>4</v>
      </c>
      <c r="U10" s="1">
        <f>ROUND(SQRT(vp^3/(47*X10)),2)</f>
        <v>147.6</v>
      </c>
      <c r="W10" t="s">
        <v>7</v>
      </c>
      <c r="X10">
        <v>0.5</v>
      </c>
    </row>
    <row r="13" spans="2:24">
      <c r="B13" t="s">
        <v>8</v>
      </c>
      <c r="C13" t="s">
        <v>0</v>
      </c>
      <c r="D13" t="s">
        <v>4</v>
      </c>
      <c r="E13" s="1">
        <f>ROUND(RL/3,2)</f>
        <v>333.33</v>
      </c>
      <c r="S13" t="s">
        <v>0</v>
      </c>
      <c r="T13" t="s">
        <v>4</v>
      </c>
      <c r="U13" s="1">
        <f>ROUND(S5/3,2)</f>
        <v>225</v>
      </c>
    </row>
    <row r="14" spans="2:24">
      <c r="C14" t="s">
        <v>0</v>
      </c>
      <c r="D14" t="s">
        <v>9</v>
      </c>
      <c r="E14" s="1">
        <f>ROUND(RL,2)</f>
        <v>1000</v>
      </c>
      <c r="S14" t="s">
        <v>0</v>
      </c>
      <c r="T14" t="s">
        <v>9</v>
      </c>
      <c r="U14" s="1">
        <f>ROUND(S5,2)</f>
        <v>675</v>
      </c>
    </row>
    <row r="16" spans="2:24">
      <c r="B16" t="s">
        <v>10</v>
      </c>
      <c r="C16" t="s">
        <v>0</v>
      </c>
      <c r="D16" t="s">
        <v>4</v>
      </c>
      <c r="E16" s="1">
        <f>ROUND((24*(RL^3)*H16)^0.25,2)</f>
        <v>330.98</v>
      </c>
      <c r="G16" t="s">
        <v>11</v>
      </c>
      <c r="H16">
        <v>0.5</v>
      </c>
      <c r="S16" t="s">
        <v>0</v>
      </c>
      <c r="T16" t="s">
        <v>4</v>
      </c>
      <c r="U16" s="1">
        <f>ROUND((24*(S5^3)*X16)^0.25,2)</f>
        <v>246.48</v>
      </c>
      <c r="W16" t="s">
        <v>11</v>
      </c>
      <c r="X16">
        <v>0.5</v>
      </c>
    </row>
    <row r="17" spans="2:24">
      <c r="C17" t="s">
        <v>0</v>
      </c>
      <c r="D17" t="s">
        <v>9</v>
      </c>
      <c r="E17" s="1">
        <f>ROUND((24*(RL^3)*H17)^0.25,2)</f>
        <v>494.92</v>
      </c>
      <c r="G17" t="s">
        <v>12</v>
      </c>
      <c r="H17">
        <v>2.5</v>
      </c>
      <c r="S17" t="s">
        <v>0</v>
      </c>
      <c r="T17" t="s">
        <v>9</v>
      </c>
      <c r="U17" s="1">
        <f>ROUND((24*(S5^3)*X17)^0.25,2)</f>
        <v>368.57</v>
      </c>
      <c r="W17" t="s">
        <v>12</v>
      </c>
      <c r="X17">
        <v>2.5</v>
      </c>
    </row>
    <row r="20" spans="2:24">
      <c r="C20" t="s">
        <v>0</v>
      </c>
      <c r="D20" s="1">
        <f>MAX(E10,E13,E16)</f>
        <v>333.33</v>
      </c>
      <c r="S20" t="s">
        <v>0</v>
      </c>
      <c r="T20" s="1">
        <f>MAX(U10,U13,U16)</f>
        <v>246.48</v>
      </c>
    </row>
    <row r="21" spans="2:24">
      <c r="C21" t="s">
        <v>1</v>
      </c>
      <c r="D21" s="3">
        <f>(D20^2)/RL</f>
        <v>111.1088889</v>
      </c>
      <c r="S21" t="s">
        <v>1</v>
      </c>
      <c r="T21" s="3">
        <f>(T20^2)/S5</f>
        <v>90.003541333333331</v>
      </c>
      <c r="V21" s="1"/>
    </row>
    <row r="22" spans="2:24">
      <c r="B22" t="s">
        <v>13</v>
      </c>
      <c r="C22" t="s">
        <v>1</v>
      </c>
      <c r="D22" s="1">
        <v>115</v>
      </c>
      <c r="S22" t="s">
        <v>1</v>
      </c>
      <c r="T22" s="1">
        <v>95</v>
      </c>
    </row>
    <row r="23" spans="2:24">
      <c r="C23" t="s">
        <v>14</v>
      </c>
      <c r="D23" s="1">
        <f>ROUND((D22*RL)^0.5,2)</f>
        <v>339.12</v>
      </c>
      <c r="S23" t="s">
        <v>14</v>
      </c>
      <c r="T23" s="1">
        <f>ROUND((T22*S5)^0.5,2)</f>
        <v>253.23</v>
      </c>
    </row>
    <row r="26" spans="2:24">
      <c r="C26" t="s">
        <v>15</v>
      </c>
      <c r="D26">
        <f>LL-LL^5/(40*AL^4)</f>
        <v>114.96197969502337</v>
      </c>
      <c r="G26" t="s">
        <v>17</v>
      </c>
      <c r="H26">
        <f>D26-RL*SIN(D29)</f>
        <v>57.493659353359675</v>
      </c>
      <c r="S26" t="s">
        <v>15</v>
      </c>
      <c r="T26">
        <f>T22-T22^5/(40*T23^4)</f>
        <v>94.952956739421097</v>
      </c>
      <c r="W26" t="s">
        <v>17</v>
      </c>
      <c r="X26">
        <f>T26-S5*SIN(T29)</f>
        <v>47.4921502803195</v>
      </c>
    </row>
    <row r="27" spans="2:24">
      <c r="C27" t="s">
        <v>16</v>
      </c>
      <c r="D27">
        <f>LL^3/(6*(AL^2))-(LL^7)/(336*(AL^6))</f>
        <v>2.2036006529397567</v>
      </c>
      <c r="G27" t="s">
        <v>18</v>
      </c>
      <c r="H27">
        <f>(RL+D28)*TAN(alfa/2)</f>
        <v>359.03740302855419</v>
      </c>
      <c r="S27" t="s">
        <v>16</v>
      </c>
      <c r="T27">
        <f>T22^3/(6*(T23^2))-(T22^7)/(336*(T23^6))</f>
        <v>2.2275918207509182</v>
      </c>
      <c r="W27" t="s">
        <v>18</v>
      </c>
      <c r="X27">
        <f>(S5+T28)*TAN(T4/2)</f>
        <v>279.82491246606241</v>
      </c>
    </row>
    <row r="28" spans="2:24">
      <c r="C28" t="s">
        <v>19</v>
      </c>
      <c r="D28">
        <f>LL^2/(24*RL)</f>
        <v>0.55104166666666665</v>
      </c>
      <c r="G28" t="s">
        <v>20</v>
      </c>
      <c r="H28">
        <f>H26+H27</f>
        <v>416.5310623819139</v>
      </c>
      <c r="S28" t="s">
        <v>19</v>
      </c>
      <c r="T28">
        <f>T22^2/(24*S5)</f>
        <v>0.5570987654320988</v>
      </c>
      <c r="W28" t="s">
        <v>20</v>
      </c>
      <c r="X28">
        <f>X26+X27</f>
        <v>327.31706274638191</v>
      </c>
    </row>
    <row r="29" spans="2:24">
      <c r="C29" t="s">
        <v>23</v>
      </c>
      <c r="D29" s="2">
        <f>LL/(2*RL)</f>
        <v>5.7500000000000002E-2</v>
      </c>
      <c r="E29">
        <f>DEGREES(D29)</f>
        <v>3.2945073220022336</v>
      </c>
      <c r="G29" t="s">
        <v>26</v>
      </c>
      <c r="H29">
        <f>D30*RL</f>
        <v>574.05598868736126</v>
      </c>
      <c r="S29" t="s">
        <v>23</v>
      </c>
      <c r="T29" s="2">
        <f>T22/(2*S5)</f>
        <v>7.0370370370370375E-2</v>
      </c>
      <c r="U29">
        <f>DEGREES(T29)</f>
        <v>4.0319252249946826</v>
      </c>
      <c r="W29" t="s">
        <v>26</v>
      </c>
      <c r="X29">
        <f>T30*S5</f>
        <v>435.14376029327758</v>
      </c>
    </row>
    <row r="30" spans="2:24">
      <c r="C30" t="s">
        <v>22</v>
      </c>
      <c r="D30">
        <f>alfa-2*D29</f>
        <v>0.5740559886873613</v>
      </c>
      <c r="E30">
        <f>DEGREES(D30)</f>
        <v>32.890985355995532</v>
      </c>
      <c r="G30" t="s">
        <v>24</v>
      </c>
      <c r="H30">
        <f>LL</f>
        <v>115</v>
      </c>
      <c r="S30" t="s">
        <v>22</v>
      </c>
      <c r="T30">
        <f>T4-2*T29</f>
        <v>0.64465742265670756</v>
      </c>
      <c r="U30">
        <f>DEGREES(T30)</f>
        <v>36.93614955001064</v>
      </c>
      <c r="W30" t="s">
        <v>24</v>
      </c>
      <c r="X30" s="1">
        <f>T22</f>
        <v>95</v>
      </c>
    </row>
    <row r="31" spans="2:24">
      <c r="G31" t="s">
        <v>25</v>
      </c>
      <c r="H31">
        <f>2*LL+D30*RL</f>
        <v>804.05598868736126</v>
      </c>
      <c r="W31" t="s">
        <v>25</v>
      </c>
      <c r="X31">
        <f>2*T22+T30*S5</f>
        <v>625.14376029327764</v>
      </c>
    </row>
    <row r="35" spans="2:29">
      <c r="S35">
        <v>0</v>
      </c>
      <c r="T35">
        <v>0.1</v>
      </c>
      <c r="U35">
        <v>0.2</v>
      </c>
      <c r="V35">
        <v>0.3</v>
      </c>
      <c r="W35">
        <v>0.4</v>
      </c>
      <c r="X35">
        <v>0.5</v>
      </c>
      <c r="Y35">
        <v>0.6</v>
      </c>
      <c r="Z35">
        <v>0.7</v>
      </c>
      <c r="AA35">
        <v>0.8</v>
      </c>
      <c r="AB35">
        <v>0.9</v>
      </c>
      <c r="AC35">
        <v>1</v>
      </c>
    </row>
    <row r="36" spans="2:29">
      <c r="C36">
        <v>0</v>
      </c>
      <c r="D36">
        <v>0.1</v>
      </c>
      <c r="E36">
        <v>0.2</v>
      </c>
      <c r="F36">
        <v>0.3</v>
      </c>
      <c r="G36">
        <v>0.4</v>
      </c>
      <c r="H36">
        <v>0.5</v>
      </c>
      <c r="I36">
        <v>0.6</v>
      </c>
      <c r="J36">
        <v>0.7</v>
      </c>
      <c r="K36">
        <v>0.8</v>
      </c>
      <c r="L36">
        <v>0.9</v>
      </c>
      <c r="M36">
        <v>1</v>
      </c>
      <c r="R36" t="s">
        <v>31</v>
      </c>
      <c r="S36">
        <f>S35*$T$22</f>
        <v>0</v>
      </c>
      <c r="T36">
        <f t="shared" ref="T36:AC36" si="0">T35*$T$22</f>
        <v>9.5</v>
      </c>
      <c r="U36">
        <f t="shared" si="0"/>
        <v>19</v>
      </c>
      <c r="V36">
        <f t="shared" si="0"/>
        <v>28.5</v>
      </c>
      <c r="W36">
        <f t="shared" si="0"/>
        <v>38</v>
      </c>
      <c r="X36">
        <f t="shared" si="0"/>
        <v>47.5</v>
      </c>
      <c r="Y36">
        <f t="shared" si="0"/>
        <v>57</v>
      </c>
      <c r="Z36">
        <f t="shared" si="0"/>
        <v>66.5</v>
      </c>
      <c r="AA36">
        <f t="shared" si="0"/>
        <v>76</v>
      </c>
      <c r="AB36">
        <f t="shared" si="0"/>
        <v>85.5</v>
      </c>
      <c r="AC36">
        <f t="shared" si="0"/>
        <v>95</v>
      </c>
    </row>
    <row r="37" spans="2:29">
      <c r="B37" t="s">
        <v>31</v>
      </c>
      <c r="C37">
        <f t="shared" ref="C37:M37" si="1">C36*LL</f>
        <v>0</v>
      </c>
      <c r="D37">
        <f t="shared" si="1"/>
        <v>11.5</v>
      </c>
      <c r="E37">
        <f t="shared" si="1"/>
        <v>23</v>
      </c>
      <c r="F37">
        <f t="shared" si="1"/>
        <v>34.5</v>
      </c>
      <c r="G37">
        <f t="shared" si="1"/>
        <v>46</v>
      </c>
      <c r="H37">
        <f t="shared" si="1"/>
        <v>57.5</v>
      </c>
      <c r="I37">
        <f t="shared" si="1"/>
        <v>69</v>
      </c>
      <c r="J37">
        <f t="shared" si="1"/>
        <v>80.5</v>
      </c>
      <c r="K37">
        <f t="shared" si="1"/>
        <v>92</v>
      </c>
      <c r="L37">
        <f t="shared" si="1"/>
        <v>103.5</v>
      </c>
      <c r="M37">
        <f t="shared" si="1"/>
        <v>115</v>
      </c>
      <c r="R37" t="s">
        <v>32</v>
      </c>
      <c r="S37">
        <f>ROUND(S36-S36^5/(40*$T$23^4),3)</f>
        <v>0</v>
      </c>
      <c r="T37">
        <f t="shared" ref="T37:AC37" si="2">ROUND(T36-T36^5/(40*$T$23^4),3)</f>
        <v>9.5</v>
      </c>
      <c r="U37">
        <f t="shared" si="2"/>
        <v>19</v>
      </c>
      <c r="V37">
        <f t="shared" si="2"/>
        <v>28.5</v>
      </c>
      <c r="W37">
        <f t="shared" si="2"/>
        <v>38</v>
      </c>
      <c r="X37">
        <f t="shared" si="2"/>
        <v>47.499000000000002</v>
      </c>
      <c r="Y37">
        <f t="shared" si="2"/>
        <v>56.996000000000002</v>
      </c>
      <c r="Z37">
        <f t="shared" si="2"/>
        <v>66.492000000000004</v>
      </c>
      <c r="AA37">
        <f t="shared" si="2"/>
        <v>75.984999999999999</v>
      </c>
      <c r="AB37">
        <f t="shared" si="2"/>
        <v>85.471999999999994</v>
      </c>
      <c r="AC37">
        <f t="shared" si="2"/>
        <v>94.953000000000003</v>
      </c>
    </row>
    <row r="38" spans="2:29">
      <c r="B38" t="s">
        <v>32</v>
      </c>
      <c r="C38">
        <f t="shared" ref="C38:M38" si="3">ROUND(C37-C37^5/(40*AL^4),3)</f>
        <v>0</v>
      </c>
      <c r="D38">
        <f t="shared" si="3"/>
        <v>11.5</v>
      </c>
      <c r="E38">
        <f t="shared" si="3"/>
        <v>23</v>
      </c>
      <c r="F38">
        <f t="shared" si="3"/>
        <v>34.5</v>
      </c>
      <c r="G38">
        <f t="shared" si="3"/>
        <v>46</v>
      </c>
      <c r="H38">
        <f t="shared" si="3"/>
        <v>57.499000000000002</v>
      </c>
      <c r="I38">
        <f t="shared" si="3"/>
        <v>68.997</v>
      </c>
      <c r="J38">
        <f t="shared" si="3"/>
        <v>80.494</v>
      </c>
      <c r="K38">
        <f t="shared" si="3"/>
        <v>91.988</v>
      </c>
      <c r="L38">
        <f t="shared" si="3"/>
        <v>103.47799999999999</v>
      </c>
      <c r="M38">
        <f t="shared" si="3"/>
        <v>114.962</v>
      </c>
      <c r="R38" t="s">
        <v>33</v>
      </c>
      <c r="S38">
        <f>ROUND(S36^3/(6*($T$23^2))-(S36^7)/(336*($T$23^6)),3)</f>
        <v>0</v>
      </c>
      <c r="T38">
        <f t="shared" ref="T38:AC38" si="4">ROUND(T36^3/(6*($T$23^2))-(T36^7)/(336*($T$23^6)),3)</f>
        <v>2E-3</v>
      </c>
      <c r="U38">
        <f t="shared" si="4"/>
        <v>1.7999999999999999E-2</v>
      </c>
      <c r="V38">
        <f t="shared" si="4"/>
        <v>0.06</v>
      </c>
      <c r="W38">
        <f t="shared" si="4"/>
        <v>0.14299999999999999</v>
      </c>
      <c r="X38">
        <f t="shared" si="4"/>
        <v>0.27900000000000003</v>
      </c>
      <c r="Y38">
        <f t="shared" si="4"/>
        <v>0.48099999999999998</v>
      </c>
      <c r="Z38">
        <f t="shared" si="4"/>
        <v>0.76400000000000001</v>
      </c>
      <c r="AA38">
        <f t="shared" si="4"/>
        <v>1.141</v>
      </c>
      <c r="AB38">
        <f t="shared" si="4"/>
        <v>1.6240000000000001</v>
      </c>
      <c r="AC38">
        <f t="shared" si="4"/>
        <v>2.2280000000000002</v>
      </c>
    </row>
    <row r="39" spans="2:29">
      <c r="B39" t="s">
        <v>33</v>
      </c>
      <c r="C39">
        <f t="shared" ref="C39:M39" si="5">ROUND(C37^3/(6*(AL^2))-(C37^7)/(336*(AL^6)),3)</f>
        <v>0</v>
      </c>
      <c r="D39">
        <f t="shared" si="5"/>
        <v>2E-3</v>
      </c>
      <c r="E39">
        <f t="shared" si="5"/>
        <v>1.7999999999999999E-2</v>
      </c>
      <c r="F39">
        <f t="shared" si="5"/>
        <v>0.06</v>
      </c>
      <c r="G39">
        <f t="shared" si="5"/>
        <v>0.14099999999999999</v>
      </c>
      <c r="H39">
        <f t="shared" si="5"/>
        <v>0.27600000000000002</v>
      </c>
      <c r="I39">
        <f t="shared" si="5"/>
        <v>0.47599999999999998</v>
      </c>
      <c r="J39">
        <f t="shared" si="5"/>
        <v>0.75600000000000001</v>
      </c>
      <c r="K39">
        <f t="shared" si="5"/>
        <v>1.1279999999999999</v>
      </c>
      <c r="L39">
        <f t="shared" si="5"/>
        <v>1.607</v>
      </c>
      <c r="M39">
        <f t="shared" si="5"/>
        <v>2.2040000000000002</v>
      </c>
    </row>
    <row r="40" spans="2:29">
      <c r="R40">
        <f t="shared" ref="R40:AA41" si="6">T37-S37</f>
        <v>9.5</v>
      </c>
      <c r="S40">
        <f t="shared" si="6"/>
        <v>9.5</v>
      </c>
      <c r="T40">
        <f t="shared" si="6"/>
        <v>9.5</v>
      </c>
      <c r="U40">
        <f t="shared" si="6"/>
        <v>9.5</v>
      </c>
      <c r="V40">
        <f t="shared" si="6"/>
        <v>9.4990000000000023</v>
      </c>
      <c r="W40">
        <f t="shared" si="6"/>
        <v>9.4969999999999999</v>
      </c>
      <c r="X40">
        <f t="shared" si="6"/>
        <v>9.4960000000000022</v>
      </c>
      <c r="Y40">
        <f t="shared" si="6"/>
        <v>9.492999999999995</v>
      </c>
      <c r="Z40">
        <f t="shared" si="6"/>
        <v>9.4869999999999948</v>
      </c>
      <c r="AA40">
        <f t="shared" si="6"/>
        <v>9.4810000000000088</v>
      </c>
    </row>
    <row r="41" spans="2:29">
      <c r="B41">
        <f t="shared" ref="B41:K42" si="7">D38-C38</f>
        <v>11.5</v>
      </c>
      <c r="C41">
        <f t="shared" si="7"/>
        <v>11.5</v>
      </c>
      <c r="D41">
        <f t="shared" si="7"/>
        <v>11.5</v>
      </c>
      <c r="E41">
        <f t="shared" si="7"/>
        <v>11.5</v>
      </c>
      <c r="F41">
        <f t="shared" si="7"/>
        <v>11.499000000000002</v>
      </c>
      <c r="G41">
        <f t="shared" si="7"/>
        <v>11.497999999999998</v>
      </c>
      <c r="H41">
        <f t="shared" si="7"/>
        <v>11.497</v>
      </c>
      <c r="I41">
        <f t="shared" si="7"/>
        <v>11.494</v>
      </c>
      <c r="J41">
        <f t="shared" si="7"/>
        <v>11.489999999999995</v>
      </c>
      <c r="K41">
        <f t="shared" si="7"/>
        <v>11.484000000000009</v>
      </c>
      <c r="R41">
        <f t="shared" si="6"/>
        <v>2E-3</v>
      </c>
      <c r="S41">
        <f t="shared" si="6"/>
        <v>1.6E-2</v>
      </c>
      <c r="T41">
        <f t="shared" si="6"/>
        <v>4.1999999999999996E-2</v>
      </c>
      <c r="U41">
        <f t="shared" si="6"/>
        <v>8.299999999999999E-2</v>
      </c>
      <c r="V41">
        <f t="shared" si="6"/>
        <v>0.13600000000000004</v>
      </c>
      <c r="W41">
        <f t="shared" si="6"/>
        <v>0.20199999999999996</v>
      </c>
      <c r="X41">
        <f t="shared" si="6"/>
        <v>0.28300000000000003</v>
      </c>
      <c r="Y41">
        <f t="shared" si="6"/>
        <v>0.377</v>
      </c>
      <c r="Z41">
        <f t="shared" si="6"/>
        <v>0.4830000000000001</v>
      </c>
      <c r="AA41">
        <f t="shared" si="6"/>
        <v>0.60400000000000009</v>
      </c>
    </row>
    <row r="42" spans="2:29">
      <c r="B42">
        <f t="shared" si="7"/>
        <v>2E-3</v>
      </c>
      <c r="C42">
        <f t="shared" si="7"/>
        <v>1.6E-2</v>
      </c>
      <c r="D42">
        <f t="shared" si="7"/>
        <v>4.1999999999999996E-2</v>
      </c>
      <c r="E42">
        <f t="shared" si="7"/>
        <v>8.0999999999999989E-2</v>
      </c>
      <c r="F42">
        <f t="shared" si="7"/>
        <v>0.13500000000000004</v>
      </c>
      <c r="G42">
        <f t="shared" si="7"/>
        <v>0.19999999999999996</v>
      </c>
      <c r="H42">
        <f t="shared" si="7"/>
        <v>0.28000000000000003</v>
      </c>
      <c r="I42">
        <f t="shared" si="7"/>
        <v>0.37199999999999989</v>
      </c>
      <c r="J42">
        <f t="shared" si="7"/>
        <v>0.47900000000000009</v>
      </c>
      <c r="K42">
        <f t="shared" si="7"/>
        <v>0.5970000000000002</v>
      </c>
    </row>
    <row r="43" spans="2:29">
      <c r="R43">
        <f>R40*100</f>
        <v>950</v>
      </c>
      <c r="S43">
        <f t="shared" ref="S43:AA43" si="8">S40*100</f>
        <v>950</v>
      </c>
      <c r="T43">
        <f t="shared" si="8"/>
        <v>950</v>
      </c>
      <c r="U43">
        <f t="shared" si="8"/>
        <v>950</v>
      </c>
      <c r="V43">
        <f t="shared" si="8"/>
        <v>949.9000000000002</v>
      </c>
      <c r="W43">
        <f t="shared" si="8"/>
        <v>949.7</v>
      </c>
      <c r="X43">
        <f t="shared" si="8"/>
        <v>949.60000000000025</v>
      </c>
      <c r="Y43">
        <f t="shared" si="8"/>
        <v>949.2999999999995</v>
      </c>
      <c r="Z43">
        <f t="shared" si="8"/>
        <v>948.69999999999948</v>
      </c>
      <c r="AA43">
        <f t="shared" si="8"/>
        <v>948.10000000000082</v>
      </c>
    </row>
    <row r="44" spans="2:29">
      <c r="B44">
        <f>B41*100</f>
        <v>1150</v>
      </c>
      <c r="C44">
        <f t="shared" ref="C44:K45" si="9">C41*100</f>
        <v>1150</v>
      </c>
      <c r="D44">
        <f t="shared" si="9"/>
        <v>1150</v>
      </c>
      <c r="E44">
        <f t="shared" si="9"/>
        <v>1150</v>
      </c>
      <c r="F44">
        <f t="shared" si="9"/>
        <v>1149.9000000000003</v>
      </c>
      <c r="G44">
        <f t="shared" si="9"/>
        <v>1149.7999999999997</v>
      </c>
      <c r="H44">
        <f t="shared" si="9"/>
        <v>1149.7</v>
      </c>
      <c r="I44">
        <f t="shared" si="9"/>
        <v>1149.4000000000001</v>
      </c>
      <c r="J44">
        <f t="shared" si="9"/>
        <v>1148.9999999999995</v>
      </c>
      <c r="K44">
        <f t="shared" si="9"/>
        <v>1148.400000000001</v>
      </c>
      <c r="R44">
        <f>R41*100</f>
        <v>0.2</v>
      </c>
      <c r="S44">
        <f t="shared" ref="S44:AA44" si="10">S41*100</f>
        <v>1.6</v>
      </c>
      <c r="T44">
        <f t="shared" si="10"/>
        <v>4.1999999999999993</v>
      </c>
      <c r="U44">
        <f t="shared" si="10"/>
        <v>8.2999999999999989</v>
      </c>
      <c r="V44">
        <f t="shared" si="10"/>
        <v>13.600000000000003</v>
      </c>
      <c r="W44">
        <f t="shared" si="10"/>
        <v>20.199999999999996</v>
      </c>
      <c r="X44">
        <f t="shared" si="10"/>
        <v>28.300000000000004</v>
      </c>
      <c r="Y44">
        <f t="shared" si="10"/>
        <v>37.700000000000003</v>
      </c>
      <c r="Z44">
        <f t="shared" si="10"/>
        <v>48.300000000000011</v>
      </c>
      <c r="AA44">
        <f t="shared" si="10"/>
        <v>60.400000000000006</v>
      </c>
    </row>
    <row r="45" spans="2:29">
      <c r="B45">
        <f>B42*100</f>
        <v>0.2</v>
      </c>
      <c r="C45">
        <f t="shared" si="9"/>
        <v>1.6</v>
      </c>
      <c r="D45">
        <f t="shared" si="9"/>
        <v>4.1999999999999993</v>
      </c>
      <c r="E45">
        <f t="shared" si="9"/>
        <v>8.1</v>
      </c>
      <c r="F45">
        <f t="shared" si="9"/>
        <v>13.500000000000004</v>
      </c>
      <c r="G45">
        <f t="shared" si="9"/>
        <v>19.999999999999996</v>
      </c>
      <c r="H45">
        <f t="shared" si="9"/>
        <v>28.000000000000004</v>
      </c>
      <c r="I45">
        <f t="shared" si="9"/>
        <v>37.199999999999989</v>
      </c>
      <c r="J45">
        <f t="shared" si="9"/>
        <v>47.900000000000006</v>
      </c>
      <c r="K45">
        <f t="shared" si="9"/>
        <v>59.700000000000017</v>
      </c>
    </row>
    <row r="46" spans="2:29">
      <c r="R46" t="s">
        <v>34</v>
      </c>
      <c r="S46" s="1">
        <v>6.68</v>
      </c>
    </row>
    <row r="47" spans="2:29">
      <c r="B47" t="s">
        <v>34</v>
      </c>
      <c r="C47" s="1">
        <v>6.68</v>
      </c>
      <c r="R47" t="s">
        <v>0</v>
      </c>
      <c r="S47">
        <f>S46/2</f>
        <v>3.34</v>
      </c>
    </row>
    <row r="48" spans="2:29">
      <c r="B48" t="s">
        <v>0</v>
      </c>
      <c r="C48">
        <f>C47/2</f>
        <v>3.34</v>
      </c>
    </row>
    <row r="49" spans="2:22">
      <c r="R49" t="s">
        <v>35</v>
      </c>
      <c r="S49" s="4">
        <v>4.4999999999999998E-2</v>
      </c>
    </row>
    <row r="50" spans="2:22">
      <c r="B50" t="s">
        <v>35</v>
      </c>
      <c r="C50" s="4">
        <v>0.02</v>
      </c>
      <c r="R50" t="s">
        <v>36</v>
      </c>
      <c r="S50" s="6">
        <v>0.02</v>
      </c>
    </row>
    <row r="51" spans="2:22">
      <c r="B51" t="s">
        <v>36</v>
      </c>
      <c r="C51" s="6">
        <v>4.4999999999999998E-2</v>
      </c>
      <c r="R51" t="s">
        <v>37</v>
      </c>
      <c r="S51" s="5">
        <f>(S49+S50)*S46/(2*LL)</f>
        <v>1.8878260869565216E-3</v>
      </c>
      <c r="T51" t="s">
        <v>9</v>
      </c>
      <c r="U51" t="s">
        <v>38</v>
      </c>
      <c r="V51">
        <f>S47/10</f>
        <v>0.33399999999999996</v>
      </c>
    </row>
    <row r="52" spans="2:22">
      <c r="B52" t="s">
        <v>37</v>
      </c>
      <c r="C52" s="5">
        <f>(C50+C51)*C47/(2*LL)</f>
        <v>1.8878260869565216E-3</v>
      </c>
      <c r="D52" t="s">
        <v>9</v>
      </c>
      <c r="E52" t="s">
        <v>38</v>
      </c>
      <c r="F52">
        <f>C48/10</f>
        <v>0.33399999999999996</v>
      </c>
      <c r="V52" s="6">
        <v>1.6E-2</v>
      </c>
    </row>
    <row r="53" spans="2:22">
      <c r="F53" s="6">
        <v>1.6E-2</v>
      </c>
    </row>
    <row r="54" spans="2:22">
      <c r="R54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selection activeCell="U30" sqref="U30"/>
    </sheetView>
  </sheetViews>
  <sheetFormatPr defaultRowHeight="15"/>
  <sheetData>
    <row r="1" spans="1:18">
      <c r="A1" t="s">
        <v>47</v>
      </c>
    </row>
    <row r="2" spans="1:18">
      <c r="I2" s="57" t="s">
        <v>141</v>
      </c>
    </row>
    <row r="3" spans="1:18">
      <c r="F3" t="s">
        <v>50</v>
      </c>
      <c r="I3" t="s">
        <v>48</v>
      </c>
      <c r="L3" t="s">
        <v>49</v>
      </c>
    </row>
    <row r="4" spans="1:18">
      <c r="F4" t="s">
        <v>44</v>
      </c>
      <c r="G4" s="7">
        <f>G6-G5</f>
        <v>47</v>
      </c>
      <c r="I4" t="s">
        <v>44</v>
      </c>
      <c r="J4" s="7">
        <f>J6-J5</f>
        <v>40</v>
      </c>
      <c r="L4" t="s">
        <v>44</v>
      </c>
      <c r="M4" s="7">
        <f>M6-M5</f>
        <v>40</v>
      </c>
    </row>
    <row r="5" spans="1:18">
      <c r="F5" t="s">
        <v>42</v>
      </c>
      <c r="G5" s="7">
        <f>ROUND(G6*G8,0)</f>
        <v>4</v>
      </c>
      <c r="I5" t="s">
        <v>42</v>
      </c>
      <c r="J5" s="7">
        <f>ROUND(J6*J8,0)</f>
        <v>2</v>
      </c>
      <c r="L5" t="s">
        <v>42</v>
      </c>
      <c r="M5" s="7">
        <f>ROUND(M6*M8,0)</f>
        <v>1</v>
      </c>
    </row>
    <row r="6" spans="1:18">
      <c r="F6" s="8" t="s">
        <v>46</v>
      </c>
      <c r="G6" s="58">
        <v>51</v>
      </c>
      <c r="I6" s="8" t="s">
        <v>46</v>
      </c>
      <c r="J6" s="58">
        <v>42</v>
      </c>
      <c r="L6" s="8" t="s">
        <v>46</v>
      </c>
      <c r="M6" s="58">
        <v>41</v>
      </c>
    </row>
    <row r="8" spans="1:18">
      <c r="A8" s="9" t="s">
        <v>144</v>
      </c>
      <c r="F8" t="s">
        <v>45</v>
      </c>
      <c r="G8" s="59">
        <v>7.8E-2</v>
      </c>
      <c r="I8" t="s">
        <v>45</v>
      </c>
      <c r="J8" s="59">
        <v>4.8000000000000001E-2</v>
      </c>
      <c r="L8" t="s">
        <v>45</v>
      </c>
      <c r="M8" s="59">
        <v>2.4E-2</v>
      </c>
      <c r="Q8" s="9" t="s">
        <v>143</v>
      </c>
    </row>
    <row r="9" spans="1:18">
      <c r="B9" t="s">
        <v>44</v>
      </c>
      <c r="C9" s="7">
        <f>C11-C10</f>
        <v>82</v>
      </c>
      <c r="Q9" t="s">
        <v>44</v>
      </c>
      <c r="R9" s="7">
        <f>R11-R10</f>
        <v>35</v>
      </c>
    </row>
    <row r="10" spans="1:18">
      <c r="B10" t="s">
        <v>42</v>
      </c>
      <c r="C10" s="7">
        <f>ROUND(C11*C13,0)</f>
        <v>7</v>
      </c>
      <c r="H10" t="s">
        <v>44</v>
      </c>
      <c r="I10" t="s">
        <v>42</v>
      </c>
      <c r="J10" s="8" t="s">
        <v>46</v>
      </c>
      <c r="K10" s="8" t="s">
        <v>145</v>
      </c>
      <c r="Q10" t="s">
        <v>42</v>
      </c>
      <c r="R10" s="7">
        <f>ROUND(R11*R13,0)</f>
        <v>1</v>
      </c>
    </row>
    <row r="11" spans="1:18">
      <c r="A11" t="s">
        <v>49</v>
      </c>
      <c r="B11" s="8" t="s">
        <v>46</v>
      </c>
      <c r="C11" s="58">
        <v>89</v>
      </c>
      <c r="H11">
        <f>G4+J4+M4</f>
        <v>127</v>
      </c>
      <c r="I11">
        <f>G5+J5+M5</f>
        <v>7</v>
      </c>
      <c r="J11">
        <f>G6+J6+M6</f>
        <v>134</v>
      </c>
      <c r="K11" s="60">
        <v>0.82</v>
      </c>
      <c r="P11" t="s">
        <v>50</v>
      </c>
      <c r="Q11" s="8" t="s">
        <v>46</v>
      </c>
      <c r="R11" s="58">
        <v>36</v>
      </c>
    </row>
    <row r="12" spans="1:18">
      <c r="R12" s="7"/>
    </row>
    <row r="13" spans="1:18">
      <c r="B13" t="s">
        <v>45</v>
      </c>
      <c r="C13" s="59">
        <v>7.9000000000000001E-2</v>
      </c>
      <c r="Q13" t="s">
        <v>45</v>
      </c>
      <c r="R13" s="59">
        <v>2.8000000000000001E-2</v>
      </c>
    </row>
    <row r="14" spans="1:18">
      <c r="R14" s="7"/>
    </row>
    <row r="15" spans="1:18">
      <c r="R15" s="7"/>
    </row>
    <row r="16" spans="1:18">
      <c r="B16" t="s">
        <v>44</v>
      </c>
      <c r="C16" s="7">
        <f>C18-C17</f>
        <v>252</v>
      </c>
      <c r="Q16" t="s">
        <v>44</v>
      </c>
      <c r="R16" s="7">
        <f>R18-R17</f>
        <v>198</v>
      </c>
    </row>
    <row r="17" spans="1:18">
      <c r="B17" t="s">
        <v>42</v>
      </c>
      <c r="C17" s="7">
        <f>ROUND(C18*C20,0)</f>
        <v>22</v>
      </c>
      <c r="E17" t="s">
        <v>44</v>
      </c>
      <c r="F17">
        <f>C9+C16+C23</f>
        <v>455</v>
      </c>
      <c r="I17" t="s">
        <v>51</v>
      </c>
      <c r="M17" t="s">
        <v>44</v>
      </c>
      <c r="N17">
        <f>R9+R16+R23</f>
        <v>265</v>
      </c>
      <c r="Q17" t="s">
        <v>42</v>
      </c>
      <c r="R17" s="7">
        <f>ROUND(R18*R20,0)</f>
        <v>20</v>
      </c>
    </row>
    <row r="18" spans="1:18">
      <c r="A18" t="s">
        <v>48</v>
      </c>
      <c r="B18" s="8" t="s">
        <v>46</v>
      </c>
      <c r="C18" s="58">
        <v>274</v>
      </c>
      <c r="E18" t="s">
        <v>42</v>
      </c>
      <c r="F18">
        <f>C10+C17+C24</f>
        <v>36</v>
      </c>
      <c r="L18" s="9"/>
      <c r="M18" t="s">
        <v>42</v>
      </c>
      <c r="N18">
        <f>R10+R17+R24</f>
        <v>23</v>
      </c>
      <c r="P18" t="s">
        <v>48</v>
      </c>
      <c r="Q18" s="8" t="s">
        <v>46</v>
      </c>
      <c r="R18" s="58">
        <v>218</v>
      </c>
    </row>
    <row r="19" spans="1:18">
      <c r="E19" s="8" t="s">
        <v>46</v>
      </c>
      <c r="F19">
        <f>C11+C18+C25</f>
        <v>491</v>
      </c>
      <c r="M19" s="8" t="s">
        <v>46</v>
      </c>
      <c r="N19">
        <f>R11+R18+R25</f>
        <v>288</v>
      </c>
      <c r="R19" s="7"/>
    </row>
    <row r="20" spans="1:18">
      <c r="B20" t="s">
        <v>45</v>
      </c>
      <c r="C20" s="59">
        <v>0.08</v>
      </c>
      <c r="E20" s="8" t="s">
        <v>145</v>
      </c>
      <c r="F20" s="60">
        <v>0.86</v>
      </c>
      <c r="M20" s="8" t="s">
        <v>145</v>
      </c>
      <c r="N20" s="60">
        <v>0.95</v>
      </c>
      <c r="Q20" t="s">
        <v>45</v>
      </c>
      <c r="R20" s="59">
        <v>9.1999999999999998E-2</v>
      </c>
    </row>
    <row r="21" spans="1:18">
      <c r="R21" s="7"/>
    </row>
    <row r="22" spans="1:18">
      <c r="R22" s="7"/>
    </row>
    <row r="23" spans="1:18">
      <c r="B23" t="s">
        <v>44</v>
      </c>
      <c r="C23" s="7">
        <f>C25-C24</f>
        <v>121</v>
      </c>
      <c r="I23" s="57"/>
      <c r="Q23" t="s">
        <v>44</v>
      </c>
      <c r="R23" s="7">
        <f>R25-R24</f>
        <v>32</v>
      </c>
    </row>
    <row r="24" spans="1:18">
      <c r="B24" t="s">
        <v>42</v>
      </c>
      <c r="C24" s="7">
        <f>ROUND(C25*C27,0)</f>
        <v>7</v>
      </c>
      <c r="I24" s="57" t="s">
        <v>142</v>
      </c>
      <c r="Q24" t="s">
        <v>42</v>
      </c>
      <c r="R24" s="7">
        <f>ROUND(R25*R27,0)</f>
        <v>2</v>
      </c>
    </row>
    <row r="25" spans="1:18">
      <c r="A25" t="s">
        <v>50</v>
      </c>
      <c r="B25" s="8" t="s">
        <v>46</v>
      </c>
      <c r="C25" s="58">
        <v>128</v>
      </c>
      <c r="H25" t="s">
        <v>44</v>
      </c>
      <c r="I25" t="s">
        <v>42</v>
      </c>
      <c r="J25" s="8" t="s">
        <v>46</v>
      </c>
      <c r="K25" s="8" t="s">
        <v>145</v>
      </c>
      <c r="P25" t="s">
        <v>49</v>
      </c>
      <c r="Q25" s="8" t="s">
        <v>46</v>
      </c>
      <c r="R25" s="58">
        <v>34</v>
      </c>
    </row>
    <row r="26" spans="1:18">
      <c r="H26">
        <f>G29+J29+M29</f>
        <v>129</v>
      </c>
      <c r="I26">
        <f>G30+J30+M30</f>
        <v>12</v>
      </c>
      <c r="J26">
        <f>G31+J31+M31</f>
        <v>141</v>
      </c>
      <c r="K26" s="60">
        <v>0.73</v>
      </c>
      <c r="R26" s="7"/>
    </row>
    <row r="27" spans="1:18">
      <c r="B27" t="s">
        <v>45</v>
      </c>
      <c r="C27" s="59">
        <v>5.7000000000000002E-2</v>
      </c>
      <c r="Q27" t="s">
        <v>45</v>
      </c>
      <c r="R27" s="59">
        <v>5.8999999999999997E-2</v>
      </c>
    </row>
    <row r="28" spans="1:18">
      <c r="F28" t="s">
        <v>49</v>
      </c>
      <c r="I28" t="s">
        <v>48</v>
      </c>
      <c r="L28" t="s">
        <v>50</v>
      </c>
    </row>
    <row r="29" spans="1:18">
      <c r="F29" t="s">
        <v>44</v>
      </c>
      <c r="G29" s="7">
        <f>G31-G30</f>
        <v>86</v>
      </c>
      <c r="I29" t="s">
        <v>44</v>
      </c>
      <c r="J29" s="7">
        <f>J31-J30</f>
        <v>33</v>
      </c>
      <c r="L29" t="s">
        <v>44</v>
      </c>
      <c r="M29" s="7">
        <f>M31-M30</f>
        <v>10</v>
      </c>
    </row>
    <row r="30" spans="1:18">
      <c r="F30" t="s">
        <v>42</v>
      </c>
      <c r="G30" s="7">
        <f>ROUND(G31*G33,0)</f>
        <v>8</v>
      </c>
      <c r="I30" t="s">
        <v>42</v>
      </c>
      <c r="J30" s="7">
        <f>ROUND(J31*J33,0)</f>
        <v>2</v>
      </c>
      <c r="L30" t="s">
        <v>42</v>
      </c>
      <c r="M30" s="7">
        <f>ROUND(M31*M33,0)</f>
        <v>2</v>
      </c>
    </row>
    <row r="31" spans="1:18">
      <c r="F31" s="8" t="s">
        <v>46</v>
      </c>
      <c r="G31" s="58">
        <v>94</v>
      </c>
      <c r="I31" s="8" t="s">
        <v>46</v>
      </c>
      <c r="J31" s="58">
        <v>35</v>
      </c>
      <c r="L31" s="8" t="s">
        <v>46</v>
      </c>
      <c r="M31" s="58">
        <v>12</v>
      </c>
    </row>
    <row r="33" spans="1:13">
      <c r="F33" t="s">
        <v>45</v>
      </c>
      <c r="G33" s="59">
        <v>8.5000000000000006E-2</v>
      </c>
      <c r="I33" t="s">
        <v>45</v>
      </c>
      <c r="J33" s="59">
        <v>5.7000000000000002E-2</v>
      </c>
      <c r="K33" s="7"/>
      <c r="L33" t="s">
        <v>45</v>
      </c>
      <c r="M33" s="59">
        <v>0.16700000000000001</v>
      </c>
    </row>
    <row r="38" spans="1:13">
      <c r="A38" t="s">
        <v>267</v>
      </c>
    </row>
    <row r="39" spans="1:13">
      <c r="A39" s="127" t="s">
        <v>320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3"/>
  <sheetViews>
    <sheetView tabSelected="1" workbookViewId="0">
      <selection activeCell="A3" sqref="A3"/>
    </sheetView>
  </sheetViews>
  <sheetFormatPr defaultRowHeight="15"/>
  <cols>
    <col min="5" max="16" width="9.28515625" bestFit="1" customWidth="1"/>
  </cols>
  <sheetData>
    <row r="2" spans="1:17">
      <c r="A2" s="9" t="s">
        <v>265</v>
      </c>
      <c r="J2" s="348" t="str">
        <f>DANE</f>
        <v>Rok 2016 - szczyt popołudniowy</v>
      </c>
      <c r="K2" s="348"/>
      <c r="L2" s="348"/>
      <c r="M2" s="348"/>
      <c r="N2" s="348"/>
      <c r="O2" s="348"/>
      <c r="P2" s="348"/>
      <c r="Q2" s="348"/>
    </row>
    <row r="3" spans="1:17">
      <c r="A3" s="9" t="s">
        <v>321</v>
      </c>
    </row>
    <row r="4" spans="1:17">
      <c r="A4" t="s">
        <v>160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44" t="s">
        <v>177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256"/>
    </row>
    <row r="8" spans="1:17">
      <c r="A8" s="334" t="s">
        <v>52</v>
      </c>
      <c r="B8" s="335"/>
      <c r="C8" s="335"/>
      <c r="D8" s="13" t="s">
        <v>156</v>
      </c>
      <c r="E8" s="336" t="str">
        <f>'Dane wejściowe'!A8</f>
        <v>GEN. SIKORSKIEGO ZACH.</v>
      </c>
      <c r="F8" s="280"/>
      <c r="G8" s="337"/>
      <c r="H8" s="336" t="str">
        <f>'Dane wejściowe'!Q8</f>
        <v>GEN. SIKORSKIEGO WSCH.</v>
      </c>
      <c r="I8" s="280"/>
      <c r="J8" s="337"/>
      <c r="K8" s="336" t="str">
        <f>'Dane wejściowe'!I24</f>
        <v>MONIUSZKI PŁD.</v>
      </c>
      <c r="L8" s="280"/>
      <c r="M8" s="337"/>
      <c r="N8" s="336" t="str">
        <f>'Dane wejściowe'!I2</f>
        <v>MONIUSZKI PŁN.</v>
      </c>
      <c r="O8" s="280"/>
      <c r="P8" s="337"/>
      <c r="Q8" s="346" t="s">
        <v>285</v>
      </c>
    </row>
    <row r="9" spans="1:17">
      <c r="A9" s="325" t="s">
        <v>59</v>
      </c>
      <c r="B9" s="326"/>
      <c r="C9" s="326"/>
      <c r="D9" s="11" t="s">
        <v>157</v>
      </c>
      <c r="E9" s="339" t="s">
        <v>58</v>
      </c>
      <c r="F9" s="326"/>
      <c r="G9" s="340"/>
      <c r="H9" s="339" t="s">
        <v>58</v>
      </c>
      <c r="I9" s="326"/>
      <c r="J9" s="340"/>
      <c r="K9" s="339" t="s">
        <v>60</v>
      </c>
      <c r="L9" s="326"/>
      <c r="M9" s="340"/>
      <c r="N9" s="339" t="s">
        <v>60</v>
      </c>
      <c r="O9" s="326"/>
      <c r="P9" s="340"/>
      <c r="Q9" s="347"/>
    </row>
    <row r="10" spans="1:17" ht="15.75" thickBot="1">
      <c r="A10" s="253" t="s">
        <v>61</v>
      </c>
      <c r="B10" s="254"/>
      <c r="C10" s="254"/>
      <c r="D10" s="12" t="s">
        <v>155</v>
      </c>
      <c r="E10" s="55" t="s">
        <v>54</v>
      </c>
      <c r="F10" s="46" t="s">
        <v>53</v>
      </c>
      <c r="G10" s="56" t="s">
        <v>55</v>
      </c>
      <c r="H10" s="55" t="s">
        <v>62</v>
      </c>
      <c r="I10" s="46" t="s">
        <v>63</v>
      </c>
      <c r="J10" s="56" t="s">
        <v>64</v>
      </c>
      <c r="K10" s="55" t="s">
        <v>65</v>
      </c>
      <c r="L10" s="46" t="s">
        <v>66</v>
      </c>
      <c r="M10" s="56" t="s">
        <v>43</v>
      </c>
      <c r="N10" s="55" t="s">
        <v>67</v>
      </c>
      <c r="O10" s="46" t="s">
        <v>68</v>
      </c>
      <c r="P10" s="56" t="s">
        <v>69</v>
      </c>
      <c r="Q10" s="347"/>
    </row>
    <row r="11" spans="1:17" ht="18">
      <c r="A11" s="334" t="s">
        <v>200</v>
      </c>
      <c r="B11" s="335"/>
      <c r="C11" s="335"/>
      <c r="D11" s="13" t="s">
        <v>201</v>
      </c>
      <c r="E11" s="124">
        <f>'Dane wejściowe'!C11</f>
        <v>89</v>
      </c>
      <c r="F11" s="123">
        <f>'Dane wejściowe'!C18</f>
        <v>274</v>
      </c>
      <c r="G11" s="16">
        <f>'Dane wejściowe'!C25</f>
        <v>128</v>
      </c>
      <c r="H11" s="124">
        <f>'Dane wejściowe'!R25</f>
        <v>34</v>
      </c>
      <c r="I11" s="123">
        <f>'Dane wejściowe'!R18</f>
        <v>218</v>
      </c>
      <c r="J11" s="16">
        <f>'Dane wejściowe'!R11</f>
        <v>36</v>
      </c>
      <c r="K11" s="124">
        <f>'Dane wejściowe'!G31</f>
        <v>94</v>
      </c>
      <c r="L11" s="123">
        <f>'Dane wejściowe'!J31</f>
        <v>35</v>
      </c>
      <c r="M11" s="16">
        <f>'Dane wejściowe'!M31</f>
        <v>12</v>
      </c>
      <c r="N11" s="124">
        <f>'Dane wejściowe'!M6</f>
        <v>41</v>
      </c>
      <c r="O11" s="123">
        <f>'Dane wejściowe'!J6</f>
        <v>42</v>
      </c>
      <c r="P11" s="36">
        <f>'Dane wejściowe'!G6</f>
        <v>51</v>
      </c>
      <c r="Q11" s="193" t="s">
        <v>284</v>
      </c>
    </row>
    <row r="12" spans="1:17" ht="18">
      <c r="A12" s="343" t="s">
        <v>199</v>
      </c>
      <c r="B12" s="338"/>
      <c r="C12" s="339"/>
      <c r="D12" s="13" t="s">
        <v>202</v>
      </c>
      <c r="E12" s="341">
        <f>'Dane wejściowe'!F20</f>
        <v>0.86</v>
      </c>
      <c r="F12" s="338"/>
      <c r="G12" s="342"/>
      <c r="H12" s="341">
        <f>'Dane wejściowe'!N20</f>
        <v>0.95</v>
      </c>
      <c r="I12" s="338"/>
      <c r="J12" s="342"/>
      <c r="K12" s="341">
        <f>'Dane wejściowe'!K26</f>
        <v>0.73</v>
      </c>
      <c r="L12" s="338"/>
      <c r="M12" s="342"/>
      <c r="N12" s="341">
        <f>'Dane wejściowe'!F20</f>
        <v>0.86</v>
      </c>
      <c r="O12" s="338"/>
      <c r="P12" s="338"/>
      <c r="Q12" s="195" t="s">
        <v>286</v>
      </c>
    </row>
    <row r="13" spans="1:17" ht="18">
      <c r="A13" s="334" t="s">
        <v>159</v>
      </c>
      <c r="B13" s="335"/>
      <c r="C13" s="335"/>
      <c r="D13" s="13" t="s">
        <v>203</v>
      </c>
      <c r="E13" s="15">
        <f>ROUND('Dane wejściowe'!C11/'Dane wejściowe'!F20,0)</f>
        <v>103</v>
      </c>
      <c r="F13" s="47">
        <f>ROUND('Dane wejściowe'!C18/'Dane wejściowe'!F20,0)</f>
        <v>319</v>
      </c>
      <c r="G13" s="16">
        <f>ROUND('Dane wejściowe'!C25/'Dane wejściowe'!F20,0)</f>
        <v>149</v>
      </c>
      <c r="H13" s="15">
        <f>ROUND('Dane wejściowe'!R25/'Dane wejściowe'!N20,0)</f>
        <v>36</v>
      </c>
      <c r="I13" s="47">
        <f>ROUND('Dane wejściowe'!R18/'Dane wejściowe'!N20,0)</f>
        <v>229</v>
      </c>
      <c r="J13" s="16">
        <f>ROUND('Dane wejściowe'!R11/'Dane wejściowe'!N20,0)</f>
        <v>38</v>
      </c>
      <c r="K13" s="15">
        <f>ROUND('Dane wejściowe'!G31/'Dane wejściowe'!K26,0)</f>
        <v>129</v>
      </c>
      <c r="L13" s="47">
        <f>ROUND('Dane wejściowe'!J31/'Dane wejściowe'!K26,0)</f>
        <v>48</v>
      </c>
      <c r="M13" s="16">
        <f>ROUND('Dane wejściowe'!M31/'Dane wejściowe'!K26,0)</f>
        <v>16</v>
      </c>
      <c r="N13" s="15">
        <f>ROUND('Dane wejściowe'!M6/'Dane wejściowe'!F20,0)</f>
        <v>48</v>
      </c>
      <c r="O13" s="47">
        <f>ROUND('Dane wejściowe'!J6/'Dane wejściowe'!F20,0)</f>
        <v>49</v>
      </c>
      <c r="P13" s="36">
        <f>ROUND('Dane wejściowe'!G6/'Dane wejściowe'!F20,0)</f>
        <v>59</v>
      </c>
      <c r="Q13" s="174" t="s">
        <v>284</v>
      </c>
    </row>
    <row r="14" spans="1:17" ht="18">
      <c r="A14" s="325" t="s">
        <v>70</v>
      </c>
      <c r="B14" s="326"/>
      <c r="C14" s="326"/>
      <c r="D14" s="11" t="s">
        <v>204</v>
      </c>
      <c r="E14" s="21">
        <f>'Dane wejściowe'!C13</f>
        <v>7.9000000000000001E-2</v>
      </c>
      <c r="F14" s="22">
        <f>'Dane wejściowe'!C20</f>
        <v>0.08</v>
      </c>
      <c r="G14" s="23">
        <f>'Dane wejściowe'!C27</f>
        <v>5.7000000000000002E-2</v>
      </c>
      <c r="H14" s="21">
        <f>'Dane wejściowe'!R27</f>
        <v>5.8999999999999997E-2</v>
      </c>
      <c r="I14" s="22">
        <f>'Dane wejściowe'!R20</f>
        <v>9.1999999999999998E-2</v>
      </c>
      <c r="J14" s="23">
        <f>'Dane wejściowe'!R13</f>
        <v>2.8000000000000001E-2</v>
      </c>
      <c r="K14" s="21">
        <f>'Dane wejściowe'!G33</f>
        <v>8.5000000000000006E-2</v>
      </c>
      <c r="L14" s="22">
        <f>'Dane wejściowe'!J33</f>
        <v>5.7000000000000002E-2</v>
      </c>
      <c r="M14" s="23">
        <f>'Dane wejściowe'!M33</f>
        <v>0.16700000000000001</v>
      </c>
      <c r="N14" s="21">
        <f>'Dane wejściowe'!M8</f>
        <v>2.4E-2</v>
      </c>
      <c r="O14" s="22">
        <f>'Dane wejściowe'!J8</f>
        <v>4.8000000000000001E-2</v>
      </c>
      <c r="P14" s="198">
        <f>'Dane wejściowe'!G8</f>
        <v>7.8E-2</v>
      </c>
      <c r="Q14" s="174" t="s">
        <v>286</v>
      </c>
    </row>
    <row r="15" spans="1:17">
      <c r="A15" s="325" t="s">
        <v>71</v>
      </c>
      <c r="B15" s="326"/>
      <c r="C15" s="326"/>
      <c r="D15" s="14" t="s">
        <v>46</v>
      </c>
      <c r="E15" s="338">
        <f>SUM(E13:G13)</f>
        <v>571</v>
      </c>
      <c r="F15" s="338"/>
      <c r="G15" s="342"/>
      <c r="H15" s="338">
        <f>SUM(H13:J13)</f>
        <v>303</v>
      </c>
      <c r="I15" s="338"/>
      <c r="J15" s="342"/>
      <c r="K15" s="338">
        <f>SUM(K13:M13)</f>
        <v>193</v>
      </c>
      <c r="L15" s="338"/>
      <c r="M15" s="342"/>
      <c r="N15" s="338">
        <f>SUM(N13:P13)</f>
        <v>156</v>
      </c>
      <c r="O15" s="338"/>
      <c r="P15" s="338"/>
      <c r="Q15" s="174" t="s">
        <v>284</v>
      </c>
    </row>
    <row r="16" spans="1:17" ht="18.75" thickBot="1">
      <c r="A16" s="253" t="s">
        <v>72</v>
      </c>
      <c r="B16" s="254"/>
      <c r="C16" s="254"/>
      <c r="D16" s="12" t="s">
        <v>205</v>
      </c>
      <c r="E16" s="24">
        <f>ROUND(E13/E15,2)</f>
        <v>0.18</v>
      </c>
      <c r="F16" s="25">
        <f>ROUND(F13/E15,2)</f>
        <v>0.56000000000000005</v>
      </c>
      <c r="G16" s="26">
        <f>ROUND(G13/E15,2)</f>
        <v>0.26</v>
      </c>
      <c r="H16" s="24">
        <f>ROUND(H13/H15,2)</f>
        <v>0.12</v>
      </c>
      <c r="I16" s="25">
        <f>ROUND(I13/H15,2)</f>
        <v>0.76</v>
      </c>
      <c r="J16" s="26">
        <f>ROUND(J13/H15,2)</f>
        <v>0.13</v>
      </c>
      <c r="K16" s="24">
        <f>ROUND(K13/K15,2)</f>
        <v>0.67</v>
      </c>
      <c r="L16" s="25">
        <f>ROUND(L13/K15,2)</f>
        <v>0.25</v>
      </c>
      <c r="M16" s="26">
        <f>ROUND(M13/K15,2)</f>
        <v>0.08</v>
      </c>
      <c r="N16" s="24">
        <f>ROUND(N13/N15,2)</f>
        <v>0.31</v>
      </c>
      <c r="O16" s="25">
        <f>ROUND(O13/N15,2)</f>
        <v>0.31</v>
      </c>
      <c r="P16" s="168">
        <f>ROUND(P13/N15,2)</f>
        <v>0.38</v>
      </c>
      <c r="Q16" s="179" t="s">
        <v>286</v>
      </c>
    </row>
    <row r="17" spans="1:17">
      <c r="A17" s="281" t="s">
        <v>73</v>
      </c>
      <c r="B17" s="282"/>
      <c r="C17" s="282"/>
      <c r="D17" s="10" t="s">
        <v>157</v>
      </c>
      <c r="E17" s="224">
        <v>2</v>
      </c>
      <c r="F17" s="141">
        <v>1</v>
      </c>
      <c r="G17" s="218">
        <v>1</v>
      </c>
      <c r="H17" s="224">
        <v>2</v>
      </c>
      <c r="I17" s="141">
        <v>1</v>
      </c>
      <c r="J17" s="218">
        <v>1</v>
      </c>
      <c r="K17" s="224">
        <v>4</v>
      </c>
      <c r="L17" s="141">
        <v>3</v>
      </c>
      <c r="M17" s="218">
        <v>2</v>
      </c>
      <c r="N17" s="224">
        <v>4</v>
      </c>
      <c r="O17" s="141">
        <v>3</v>
      </c>
      <c r="P17" s="177">
        <v>2</v>
      </c>
      <c r="Q17" s="173"/>
    </row>
    <row r="18" spans="1:17" ht="18">
      <c r="A18" s="325" t="s">
        <v>74</v>
      </c>
      <c r="B18" s="326"/>
      <c r="C18" s="326"/>
      <c r="D18" s="11" t="s">
        <v>206</v>
      </c>
      <c r="E18" s="132">
        <f>ROUND(QBP+QBW,0)</f>
        <v>267</v>
      </c>
      <c r="F18" s="133">
        <v>0</v>
      </c>
      <c r="G18" s="134">
        <v>0</v>
      </c>
      <c r="H18" s="132">
        <f>QAP+QAW</f>
        <v>468</v>
      </c>
      <c r="I18" s="133">
        <v>0</v>
      </c>
      <c r="J18" s="134">
        <v>0</v>
      </c>
      <c r="K18" s="132">
        <f>ROUND(QAW + QAL + 0.5*QBP+QBW + QBL + QDW,0)</f>
        <v>755</v>
      </c>
      <c r="L18" s="133">
        <f>ROUND(QAW+QAL+QBP + QBW + QBL,0)</f>
        <v>725</v>
      </c>
      <c r="M18" s="134">
        <f>ROUND(QAW,0)</f>
        <v>319</v>
      </c>
      <c r="N18" s="132">
        <f>ROUND(0.5*QBP+QBW + QBL + QAW + QAL + QCW,0)</f>
        <v>754</v>
      </c>
      <c r="O18" s="133">
        <f>ROUND(0.5*QBP+QBW + QBL + QAP + QAW + QAL,2)</f>
        <v>855</v>
      </c>
      <c r="P18" s="156">
        <f>ROUND(0.5*QBP+QBW,0)</f>
        <v>248</v>
      </c>
      <c r="Q18" s="174" t="s">
        <v>284</v>
      </c>
    </row>
    <row r="19" spans="1:17" ht="18">
      <c r="A19" s="325" t="s">
        <v>75</v>
      </c>
      <c r="B19" s="326"/>
      <c r="C19" s="326"/>
      <c r="D19" s="11" t="s">
        <v>207</v>
      </c>
      <c r="E19" s="132">
        <v>5.7</v>
      </c>
      <c r="F19" s="133">
        <v>0</v>
      </c>
      <c r="G19" s="134">
        <v>0</v>
      </c>
      <c r="H19" s="132">
        <v>5.7</v>
      </c>
      <c r="I19" s="133">
        <v>0</v>
      </c>
      <c r="J19" s="134">
        <v>0</v>
      </c>
      <c r="K19" s="132">
        <v>5.6</v>
      </c>
      <c r="L19" s="133">
        <v>5.5</v>
      </c>
      <c r="M19" s="134">
        <v>5.4</v>
      </c>
      <c r="N19" s="132">
        <v>5.6</v>
      </c>
      <c r="O19" s="133">
        <v>5.5</v>
      </c>
      <c r="P19" s="156">
        <v>5.4</v>
      </c>
      <c r="Q19" s="174" t="s">
        <v>288</v>
      </c>
    </row>
    <row r="20" spans="1:17" ht="18">
      <c r="A20" s="325" t="s">
        <v>76</v>
      </c>
      <c r="B20" s="326"/>
      <c r="C20" s="326"/>
      <c r="D20" s="11" t="s">
        <v>208</v>
      </c>
      <c r="E20" s="132">
        <v>2.5</v>
      </c>
      <c r="F20" s="133">
        <v>0</v>
      </c>
      <c r="G20" s="134">
        <v>0</v>
      </c>
      <c r="H20" s="132">
        <v>2.5</v>
      </c>
      <c r="I20" s="133">
        <v>0</v>
      </c>
      <c r="J20" s="134">
        <v>0</v>
      </c>
      <c r="K20" s="132">
        <v>3.2</v>
      </c>
      <c r="L20" s="133">
        <v>3.3</v>
      </c>
      <c r="M20" s="134">
        <v>3.1</v>
      </c>
      <c r="N20" s="132">
        <v>3.2</v>
      </c>
      <c r="O20" s="133">
        <v>3.3</v>
      </c>
      <c r="P20" s="156">
        <v>3.1</v>
      </c>
      <c r="Q20" s="174" t="s">
        <v>288</v>
      </c>
    </row>
    <row r="21" spans="1:17" ht="18.75" thickBot="1">
      <c r="A21" s="253" t="s">
        <v>77</v>
      </c>
      <c r="B21" s="254"/>
      <c r="C21" s="254"/>
      <c r="D21" s="12" t="s">
        <v>255</v>
      </c>
      <c r="E21" s="154">
        <f>ROUND((3600/E20)*EXP(-1.1*(E18/3600)*(E19-0.5*E20)),0)</f>
        <v>1002</v>
      </c>
      <c r="F21" s="137">
        <v>0</v>
      </c>
      <c r="G21" s="27">
        <v>0</v>
      </c>
      <c r="H21" s="154">
        <f>ROUND((3600/H20)*EXP(-1.1*(H18/3600)*(H19-0.5*H20)),0)</f>
        <v>762</v>
      </c>
      <c r="I21" s="137">
        <v>0</v>
      </c>
      <c r="J21" s="27">
        <v>0</v>
      </c>
      <c r="K21" s="154">
        <f t="shared" ref="K21:P21" si="0">ROUND((3600/K20)*EXP(-1.07*(K18/3600)*(K19-0.5*K20)),0)</f>
        <v>458</v>
      </c>
      <c r="L21" s="154">
        <f t="shared" si="0"/>
        <v>476</v>
      </c>
      <c r="M21" s="27">
        <f t="shared" si="0"/>
        <v>806</v>
      </c>
      <c r="N21" s="154">
        <f t="shared" si="0"/>
        <v>459</v>
      </c>
      <c r="O21" s="154">
        <f t="shared" si="0"/>
        <v>410</v>
      </c>
      <c r="P21" s="149">
        <f t="shared" si="0"/>
        <v>874</v>
      </c>
      <c r="Q21" s="175" t="s">
        <v>288</v>
      </c>
    </row>
    <row r="22" spans="1:17" ht="18">
      <c r="A22" s="334" t="s">
        <v>78</v>
      </c>
      <c r="B22" s="335"/>
      <c r="C22" s="335"/>
      <c r="D22" s="13" t="s">
        <v>209</v>
      </c>
      <c r="E22" s="162">
        <f t="shared" ref="E22:P22" si="1">ROUND(1/(1+E14*(2-1)),2)</f>
        <v>0.93</v>
      </c>
      <c r="F22" s="142">
        <f t="shared" si="1"/>
        <v>0.93</v>
      </c>
      <c r="G22" s="16">
        <f t="shared" si="1"/>
        <v>0.95</v>
      </c>
      <c r="H22" s="162">
        <f t="shared" si="1"/>
        <v>0.94</v>
      </c>
      <c r="I22" s="142">
        <f t="shared" si="1"/>
        <v>0.92</v>
      </c>
      <c r="J22" s="16">
        <f t="shared" si="1"/>
        <v>0.97</v>
      </c>
      <c r="K22" s="162">
        <f t="shared" si="1"/>
        <v>0.92</v>
      </c>
      <c r="L22" s="142">
        <f t="shared" si="1"/>
        <v>0.95</v>
      </c>
      <c r="M22" s="16">
        <f t="shared" si="1"/>
        <v>0.86</v>
      </c>
      <c r="N22" s="162">
        <f t="shared" si="1"/>
        <v>0.98</v>
      </c>
      <c r="O22" s="142">
        <f t="shared" si="1"/>
        <v>0.95</v>
      </c>
      <c r="P22" s="36">
        <f t="shared" si="1"/>
        <v>0.93</v>
      </c>
      <c r="Q22" s="176" t="s">
        <v>286</v>
      </c>
    </row>
    <row r="23" spans="1:17" ht="18">
      <c r="A23" s="325" t="s">
        <v>79</v>
      </c>
      <c r="B23" s="326"/>
      <c r="C23" s="326"/>
      <c r="D23" s="11" t="s">
        <v>210</v>
      </c>
      <c r="E23" s="48">
        <f>ROUND(E21*E22,0)</f>
        <v>932</v>
      </c>
      <c r="F23" s="48"/>
      <c r="G23" s="49"/>
      <c r="H23" s="48">
        <f>ROUND(H21*H22,0)</f>
        <v>716</v>
      </c>
      <c r="I23" s="48"/>
      <c r="J23" s="49"/>
      <c r="K23" s="48"/>
      <c r="L23" s="48">
        <f>ROUND(L21*L22,0)</f>
        <v>452</v>
      </c>
      <c r="M23" s="49">
        <f>ROUND(M21*M22,0)</f>
        <v>693</v>
      </c>
      <c r="N23" s="48"/>
      <c r="O23" s="48">
        <f>ROUND(O21*O22,0)</f>
        <v>390</v>
      </c>
      <c r="P23" s="156">
        <f>ROUND(P21*P22,0)</f>
        <v>813</v>
      </c>
      <c r="Q23" s="174" t="s">
        <v>284</v>
      </c>
    </row>
    <row r="24" spans="1:17" ht="18">
      <c r="A24" s="325" t="s">
        <v>80</v>
      </c>
      <c r="B24" s="326"/>
      <c r="C24" s="326"/>
      <c r="D24" s="11" t="s">
        <v>211</v>
      </c>
      <c r="E24" s="48">
        <f>ROUND(QAL/E23,2)</f>
        <v>0.11</v>
      </c>
      <c r="F24" s="48"/>
      <c r="G24" s="49"/>
      <c r="H24" s="48">
        <f>ROUND(QAL/H23,2)</f>
        <v>0.14000000000000001</v>
      </c>
      <c r="I24" s="48"/>
      <c r="J24" s="49"/>
      <c r="K24" s="48"/>
      <c r="L24" s="48">
        <f>ROUND(QAL/L23,2)</f>
        <v>0.23</v>
      </c>
      <c r="M24" s="49">
        <f>ROUND(QAL/M23,2)</f>
        <v>0.15</v>
      </c>
      <c r="N24" s="48"/>
      <c r="O24" s="48">
        <f>ROUND(QAL/O23,2)</f>
        <v>0.26</v>
      </c>
      <c r="P24" s="156">
        <f>ROUND(QAL/P23,2)</f>
        <v>0.13</v>
      </c>
      <c r="Q24" s="174" t="s">
        <v>286</v>
      </c>
    </row>
    <row r="25" spans="1:17">
      <c r="A25" s="325" t="s">
        <v>81</v>
      </c>
      <c r="B25" s="326"/>
      <c r="C25" s="326"/>
      <c r="D25" s="11" t="s">
        <v>157</v>
      </c>
      <c r="E25" s="48">
        <v>1</v>
      </c>
      <c r="F25" s="48"/>
      <c r="G25" s="49"/>
      <c r="H25" s="48">
        <v>1</v>
      </c>
      <c r="I25" s="48"/>
      <c r="J25" s="49"/>
      <c r="K25" s="48"/>
      <c r="L25" s="48">
        <v>5</v>
      </c>
      <c r="M25" s="49">
        <v>3</v>
      </c>
      <c r="N25" s="48"/>
      <c r="O25" s="48">
        <v>5</v>
      </c>
      <c r="P25" s="156">
        <v>3</v>
      </c>
      <c r="Q25" s="174"/>
    </row>
    <row r="26" spans="1:17" ht="18">
      <c r="A26" s="325" t="s">
        <v>83</v>
      </c>
      <c r="B26" s="326"/>
      <c r="C26" s="326"/>
      <c r="D26" s="11" t="s">
        <v>212</v>
      </c>
      <c r="E26" s="48">
        <v>0.88</v>
      </c>
      <c r="F26" s="48"/>
      <c r="G26" s="49"/>
      <c r="H26" s="48">
        <v>0.82</v>
      </c>
      <c r="I26" s="48"/>
      <c r="J26" s="49"/>
      <c r="K26" s="48"/>
      <c r="L26" s="48">
        <v>0.81</v>
      </c>
      <c r="M26" s="49">
        <v>0.97</v>
      </c>
      <c r="N26" s="48"/>
      <c r="O26" s="48">
        <v>0.77</v>
      </c>
      <c r="P26" s="156">
        <v>0.98</v>
      </c>
      <c r="Q26" s="174" t="s">
        <v>286</v>
      </c>
    </row>
    <row r="27" spans="1:17" ht="18">
      <c r="A27" s="325" t="s">
        <v>84</v>
      </c>
      <c r="B27" s="326"/>
      <c r="C27" s="326"/>
      <c r="D27" s="11" t="s">
        <v>213</v>
      </c>
      <c r="E27" s="48"/>
      <c r="F27" s="48"/>
      <c r="G27" s="49"/>
      <c r="H27" s="48"/>
      <c r="I27" s="48"/>
      <c r="J27" s="49"/>
      <c r="K27" s="48">
        <f>ROUND(1/(1+(1-E26*H26)/(E26*H26)+(1-O26)/O26),2)</f>
        <v>0.59</v>
      </c>
      <c r="L27" s="48"/>
      <c r="M27" s="49"/>
      <c r="N27" s="48">
        <f>ROUND(1/(1+(1-E26*H26)/(E26*H26)+(1-L26)/L26),2)</f>
        <v>0.62</v>
      </c>
      <c r="O27" s="48"/>
      <c r="P27" s="156"/>
      <c r="Q27" s="174" t="s">
        <v>286</v>
      </c>
    </row>
    <row r="28" spans="1:17" ht="18.75" thickBot="1">
      <c r="A28" s="253" t="s">
        <v>82</v>
      </c>
      <c r="B28" s="254"/>
      <c r="C28" s="254"/>
      <c r="D28" s="12" t="s">
        <v>214</v>
      </c>
      <c r="E28" s="51"/>
      <c r="F28" s="51"/>
      <c r="G28" s="27"/>
      <c r="H28" s="51"/>
      <c r="I28" s="51"/>
      <c r="J28" s="27"/>
      <c r="K28" s="51">
        <f>ROUND(K27*P26,2)</f>
        <v>0.57999999999999996</v>
      </c>
      <c r="L28" s="51">
        <f>ROUND(E26*H26,2)</f>
        <v>0.72</v>
      </c>
      <c r="M28" s="27"/>
      <c r="N28" s="61">
        <f>ROUND(N27*M26,2)</f>
        <v>0.6</v>
      </c>
      <c r="O28" s="51">
        <f>ROUND(E26*H26,2)</f>
        <v>0.72</v>
      </c>
      <c r="P28" s="149"/>
      <c r="Q28" s="175" t="s">
        <v>286</v>
      </c>
    </row>
    <row r="29" spans="1:17" ht="18.75" thickBot="1">
      <c r="A29" s="330" t="s">
        <v>85</v>
      </c>
      <c r="B29" s="331"/>
      <c r="C29" s="331"/>
      <c r="D29" s="29" t="s">
        <v>215</v>
      </c>
      <c r="E29" s="62">
        <f>ROUND(E21*E22,0)</f>
        <v>932</v>
      </c>
      <c r="F29" s="62">
        <f>ROUND(1700*F22,0)</f>
        <v>1581</v>
      </c>
      <c r="G29" s="63">
        <f>ROUND(1700*G22,0)</f>
        <v>1615</v>
      </c>
      <c r="H29" s="62">
        <f>ROUND(H21*H22,0)</f>
        <v>716</v>
      </c>
      <c r="I29" s="62">
        <f>ROUND(1700*I22,0)</f>
        <v>1564</v>
      </c>
      <c r="J29" s="63">
        <f>ROUND(1700*J22,0)</f>
        <v>1649</v>
      </c>
      <c r="K29" s="62">
        <f>ROUND(K21*K22*K28,0)</f>
        <v>244</v>
      </c>
      <c r="L29" s="62">
        <f>ROUND(L21*L22*L28,0)</f>
        <v>326</v>
      </c>
      <c r="M29" s="63">
        <f>ROUND(M21*M22,0)</f>
        <v>693</v>
      </c>
      <c r="N29" s="62">
        <f>ROUND(N21*N22*N28,0)</f>
        <v>270</v>
      </c>
      <c r="O29" s="62">
        <f>ROUND(O21*O22*O28,0)</f>
        <v>280</v>
      </c>
      <c r="P29" s="63">
        <f>ROUND(P21*P22,0)</f>
        <v>813</v>
      </c>
      <c r="Q29" s="200" t="s">
        <v>284</v>
      </c>
    </row>
    <row r="30" spans="1:17" ht="15.75" thickBot="1"/>
    <row r="31" spans="1:17" ht="15.75" thickBot="1">
      <c r="A31" s="302" t="s">
        <v>147</v>
      </c>
      <c r="B31" s="303"/>
      <c r="C31" s="303"/>
      <c r="D31" s="65" t="s">
        <v>154</v>
      </c>
      <c r="E31" s="66" t="s">
        <v>146</v>
      </c>
      <c r="F31" s="53" t="s">
        <v>53</v>
      </c>
      <c r="G31" s="54" t="s">
        <v>55</v>
      </c>
      <c r="H31" s="52" t="s">
        <v>148</v>
      </c>
      <c r="I31" s="255" t="s">
        <v>149</v>
      </c>
      <c r="J31" s="256"/>
      <c r="K31" s="52" t="s">
        <v>65</v>
      </c>
      <c r="L31" s="255" t="s">
        <v>150</v>
      </c>
      <c r="M31" s="256"/>
      <c r="N31" s="52" t="s">
        <v>67</v>
      </c>
      <c r="O31" s="255" t="s">
        <v>151</v>
      </c>
      <c r="P31" s="256"/>
      <c r="Q31" s="197" t="s">
        <v>285</v>
      </c>
    </row>
    <row r="32" spans="1:17" ht="18">
      <c r="A32" s="316" t="s">
        <v>86</v>
      </c>
      <c r="B32" s="317"/>
      <c r="C32" s="318"/>
      <c r="D32" s="64" t="s">
        <v>247</v>
      </c>
      <c r="E32" s="67">
        <f>ROUND(QAL/(0.5*(QAL+QAW)),3)</f>
        <v>0.48799999999999999</v>
      </c>
      <c r="F32" s="50"/>
      <c r="G32" s="18"/>
      <c r="H32" s="17">
        <f>ROUND(QBL/(0.5*(QBL+QBW+QBP)),3)</f>
        <v>0.23799999999999999</v>
      </c>
      <c r="I32" s="251"/>
      <c r="J32" s="252"/>
      <c r="K32" s="19"/>
      <c r="L32" s="251"/>
      <c r="M32" s="252"/>
      <c r="N32" s="107"/>
      <c r="O32" s="251"/>
      <c r="P32" s="257"/>
      <c r="Q32" s="193" t="s">
        <v>286</v>
      </c>
    </row>
    <row r="33" spans="1:17" ht="18">
      <c r="A33" s="319"/>
      <c r="B33" s="320"/>
      <c r="C33" s="321"/>
      <c r="D33" s="64" t="s">
        <v>248</v>
      </c>
      <c r="E33" s="67">
        <f>1-E32</f>
        <v>0.51200000000000001</v>
      </c>
      <c r="F33" s="50">
        <v>1</v>
      </c>
      <c r="G33" s="18"/>
      <c r="H33" s="17">
        <f>1-H32</f>
        <v>0.76200000000000001</v>
      </c>
      <c r="I33" s="258">
        <f>1-I34</f>
        <v>0.749</v>
      </c>
      <c r="J33" s="270"/>
      <c r="K33" s="17">
        <v>1</v>
      </c>
      <c r="L33" s="258">
        <f>ROUND(QCW/(QCW+QCP),3)</f>
        <v>0.75</v>
      </c>
      <c r="M33" s="270"/>
      <c r="N33" s="67">
        <v>1</v>
      </c>
      <c r="O33" s="258">
        <f>ROUND(QDW/(QDW+QDP),3)</f>
        <v>0.45400000000000001</v>
      </c>
      <c r="P33" s="259"/>
      <c r="Q33" s="195" t="s">
        <v>286</v>
      </c>
    </row>
    <row r="34" spans="1:17" ht="18">
      <c r="A34" s="322"/>
      <c r="B34" s="323"/>
      <c r="C34" s="324"/>
      <c r="D34" s="64" t="s">
        <v>249</v>
      </c>
      <c r="E34" s="67"/>
      <c r="F34" s="50"/>
      <c r="G34" s="18">
        <v>1</v>
      </c>
      <c r="H34" s="17"/>
      <c r="I34" s="258">
        <f>ROUND(QBP/(0.5*(QBL+QBW+QBP)),3)</f>
        <v>0.251</v>
      </c>
      <c r="J34" s="270"/>
      <c r="K34" s="19"/>
      <c r="L34" s="258">
        <f>1-L33</f>
        <v>0.25</v>
      </c>
      <c r="M34" s="270"/>
      <c r="N34" s="165"/>
      <c r="O34" s="258">
        <f>1-O33</f>
        <v>0.54600000000000004</v>
      </c>
      <c r="P34" s="259"/>
      <c r="Q34" s="195" t="s">
        <v>286</v>
      </c>
    </row>
    <row r="35" spans="1:17" ht="18">
      <c r="A35" s="325" t="s">
        <v>152</v>
      </c>
      <c r="B35" s="326"/>
      <c r="C35" s="326"/>
      <c r="D35" s="64" t="s">
        <v>216</v>
      </c>
      <c r="E35" s="68">
        <f>ROUND(0.5*(QAL+QAW),0)</f>
        <v>211</v>
      </c>
      <c r="F35" s="69">
        <f>ROUND(0.5*(QAL+QAW),0)</f>
        <v>211</v>
      </c>
      <c r="G35" s="70">
        <f>QAP</f>
        <v>149</v>
      </c>
      <c r="H35" s="68">
        <f>0.5*(QBL+QBW+QBP)</f>
        <v>151.5</v>
      </c>
      <c r="I35" s="260">
        <f>0.5*(QBL+QBW+QBP)</f>
        <v>151.5</v>
      </c>
      <c r="J35" s="271"/>
      <c r="K35" s="68">
        <f>QCL</f>
        <v>129</v>
      </c>
      <c r="L35" s="260">
        <f>QCW+QCP</f>
        <v>64</v>
      </c>
      <c r="M35" s="271"/>
      <c r="N35" s="68">
        <f>QDL</f>
        <v>48</v>
      </c>
      <c r="O35" s="260">
        <f>QDW+QDP</f>
        <v>108</v>
      </c>
      <c r="P35" s="261"/>
      <c r="Q35" s="195" t="s">
        <v>284</v>
      </c>
    </row>
    <row r="36" spans="1:17" ht="18.75" thickBot="1">
      <c r="A36" s="291" t="s">
        <v>153</v>
      </c>
      <c r="B36" s="292"/>
      <c r="C36" s="293"/>
      <c r="D36" s="90" t="s">
        <v>217</v>
      </c>
      <c r="E36" s="91">
        <f>E35/$E$15</f>
        <v>0.36952714535901926</v>
      </c>
      <c r="F36" s="92">
        <f t="shared" ref="F36:G36" si="2">F35/$E$15</f>
        <v>0.36952714535901926</v>
      </c>
      <c r="G36" s="93">
        <f t="shared" si="2"/>
        <v>0.26094570928196148</v>
      </c>
      <c r="H36" s="91">
        <f>H35/$H$15</f>
        <v>0.5</v>
      </c>
      <c r="I36" s="272">
        <f t="shared" ref="I36" si="3">I35/$H$15</f>
        <v>0.5</v>
      </c>
      <c r="J36" s="273"/>
      <c r="K36" s="91">
        <f>K35/$K$15</f>
        <v>0.66839378238341973</v>
      </c>
      <c r="L36" s="272">
        <f t="shared" ref="L36" si="4">L35/$K$15</f>
        <v>0.33160621761658032</v>
      </c>
      <c r="M36" s="273"/>
      <c r="N36" s="226">
        <f>N35/$N$15</f>
        <v>0.30769230769230771</v>
      </c>
      <c r="O36" s="262">
        <f>O35/$N$15</f>
        <v>0.69230769230769229</v>
      </c>
      <c r="P36" s="263"/>
      <c r="Q36" s="194" t="s">
        <v>286</v>
      </c>
    </row>
    <row r="37" spans="1:17" ht="18">
      <c r="A37" s="332" t="s">
        <v>87</v>
      </c>
      <c r="B37" s="333"/>
      <c r="C37" s="333"/>
      <c r="D37" s="95" t="s">
        <v>218</v>
      </c>
      <c r="E37" s="96">
        <f>ROUND(1/(E32/E29+E33/F29+E34/G29),0)</f>
        <v>1180</v>
      </c>
      <c r="F37" s="97">
        <f>ROUND(1/(F32/E29+F33/F29+F34/G29),0)</f>
        <v>1581</v>
      </c>
      <c r="G37" s="98">
        <f>ROUND(1/(G32/E29+G33/F29+G34/G29),0)</f>
        <v>1615</v>
      </c>
      <c r="H37" s="99">
        <f>ROUND(1/(H32/H29+H33/I29+H34/J29),0)</f>
        <v>1220</v>
      </c>
      <c r="I37" s="328">
        <f>ROUND(1/(I32/H29+I33/I29+I34/J29),0)</f>
        <v>1585</v>
      </c>
      <c r="J37" s="329"/>
      <c r="K37" s="99">
        <f>ROUND(1/(K32/K29+K33/L29+K34/M29),0)</f>
        <v>326</v>
      </c>
      <c r="L37" s="328">
        <f>ROUND(1/(L32/K29+L33/L29+L34/M29),0)</f>
        <v>376</v>
      </c>
      <c r="M37" s="329"/>
      <c r="N37" s="225">
        <f>ROUND(1/(N32/N29+N33/O29+N34/P29),0)</f>
        <v>280</v>
      </c>
      <c r="O37" s="268">
        <f>ROUND(1/(O32/N29+O33/O29+O34/P29),0)</f>
        <v>436</v>
      </c>
      <c r="P37" s="269"/>
      <c r="Q37" s="191" t="s">
        <v>284</v>
      </c>
    </row>
    <row r="38" spans="1:17" ht="18.75" thickBot="1">
      <c r="A38" s="253" t="s">
        <v>90</v>
      </c>
      <c r="B38" s="254"/>
      <c r="C38" s="254"/>
      <c r="D38" s="100" t="s">
        <v>219</v>
      </c>
      <c r="E38" s="101">
        <f>ROUND(0.5*(QAL+QAW)/E37,3)</f>
        <v>0.17899999999999999</v>
      </c>
      <c r="F38" s="102">
        <f>ROUND(0.5*(QAL+QAW)/F37,3)</f>
        <v>0.13300000000000001</v>
      </c>
      <c r="G38" s="103">
        <f>ROUND(QAP/E37,3)</f>
        <v>0.126</v>
      </c>
      <c r="H38" s="104">
        <f>ROUND(0.5*(QBL+QBW+QBP)/H37,3)</f>
        <v>0.124</v>
      </c>
      <c r="I38" s="262">
        <f>ROUND(0.5*(QBL+QBW+QBP)/I37,3)</f>
        <v>9.6000000000000002E-2</v>
      </c>
      <c r="J38" s="327"/>
      <c r="K38" s="101">
        <f>ROUND(QCL/K37,3)</f>
        <v>0.39600000000000002</v>
      </c>
      <c r="L38" s="262">
        <f>ROUND((QCW+QCP)/L37,3)</f>
        <v>0.17</v>
      </c>
      <c r="M38" s="327"/>
      <c r="N38" s="101">
        <f>ROUND(QDL/N37,3)</f>
        <v>0.17100000000000001</v>
      </c>
      <c r="O38" s="262">
        <f>ROUND((QDW+QDP)/O37,3)</f>
        <v>0.248</v>
      </c>
      <c r="P38" s="263"/>
      <c r="Q38" s="179" t="s">
        <v>286</v>
      </c>
    </row>
    <row r="39" spans="1:17" ht="18">
      <c r="A39" s="279" t="s">
        <v>88</v>
      </c>
      <c r="B39" s="280"/>
      <c r="C39" s="280"/>
      <c r="D39" s="94" t="s">
        <v>220</v>
      </c>
      <c r="E39" s="276">
        <f>ROUND(MIN(E37/E36,F37/F36,G37/G36),0)</f>
        <v>3193</v>
      </c>
      <c r="F39" s="277"/>
      <c r="G39" s="278"/>
      <c r="H39" s="276">
        <f>ROUND(MIN(H37/H36,I37/I36),0)</f>
        <v>2440</v>
      </c>
      <c r="I39" s="277"/>
      <c r="J39" s="278"/>
      <c r="K39" s="276">
        <f>ROUND(MIN(K37/K36,L37/L36),0)</f>
        <v>488</v>
      </c>
      <c r="L39" s="277"/>
      <c r="M39" s="278"/>
      <c r="N39" s="276">
        <f>ROUND(MIN(N37/N36,O37/O36),0)</f>
        <v>630</v>
      </c>
      <c r="O39" s="277"/>
      <c r="P39" s="277"/>
      <c r="Q39" s="193" t="s">
        <v>284</v>
      </c>
    </row>
    <row r="40" spans="1:17" ht="18.75" thickBot="1">
      <c r="A40" s="304" t="s">
        <v>91</v>
      </c>
      <c r="B40" s="305"/>
      <c r="C40" s="305"/>
      <c r="D40" s="125" t="s">
        <v>221</v>
      </c>
      <c r="E40" s="306">
        <f>ROUND((QAL+QAW+QAP)/E39,2)</f>
        <v>0.18</v>
      </c>
      <c r="F40" s="307"/>
      <c r="G40" s="273"/>
      <c r="H40" s="308">
        <f>ROUND((QBL+QBW+QBP)/H39,2)</f>
        <v>0.12</v>
      </c>
      <c r="I40" s="308"/>
      <c r="J40" s="309"/>
      <c r="K40" s="310">
        <f>ROUND((QCL+QCW+QCP)/K39,2)</f>
        <v>0.4</v>
      </c>
      <c r="L40" s="311"/>
      <c r="M40" s="312"/>
      <c r="N40" s="310">
        <f>ROUND((QDL+QDW+QDP)/N39,2)</f>
        <v>0.25</v>
      </c>
      <c r="O40" s="311"/>
      <c r="P40" s="311"/>
      <c r="Q40" s="175" t="s">
        <v>286</v>
      </c>
    </row>
    <row r="41" spans="1:17" ht="18">
      <c r="A41" s="291" t="s">
        <v>168</v>
      </c>
      <c r="B41" s="292"/>
      <c r="C41" s="293"/>
      <c r="D41" s="106" t="s">
        <v>222</v>
      </c>
      <c r="E41" s="107">
        <f>E35/SUM($E$15:$P$15)</f>
        <v>0.17252657399836469</v>
      </c>
      <c r="F41" s="108">
        <f t="shared" ref="F41:O41" si="5">F35/SUM($E$15:$P$15)</f>
        <v>0.17252657399836469</v>
      </c>
      <c r="G41" s="108">
        <f t="shared" si="5"/>
        <v>0.12183156173344235</v>
      </c>
      <c r="H41" s="108">
        <f t="shared" si="5"/>
        <v>0.12387571545380213</v>
      </c>
      <c r="I41" s="294">
        <f t="shared" si="5"/>
        <v>0.12387571545380213</v>
      </c>
      <c r="J41" s="294"/>
      <c r="K41" s="108">
        <f t="shared" si="5"/>
        <v>0.10547833197056419</v>
      </c>
      <c r="L41" s="294">
        <f t="shared" si="5"/>
        <v>5.2330335241210141E-2</v>
      </c>
      <c r="M41" s="294"/>
      <c r="N41" s="108">
        <f t="shared" si="5"/>
        <v>3.9247751430907606E-2</v>
      </c>
      <c r="O41" s="294">
        <f t="shared" si="5"/>
        <v>8.8307440719542107E-2</v>
      </c>
      <c r="P41" s="295"/>
      <c r="Q41" s="176" t="s">
        <v>286</v>
      </c>
    </row>
    <row r="42" spans="1:17" ht="18">
      <c r="A42" s="275" t="s">
        <v>89</v>
      </c>
      <c r="B42" s="275"/>
      <c r="C42" s="275"/>
      <c r="D42" s="94" t="s">
        <v>223</v>
      </c>
      <c r="E42" s="349">
        <f>ROUND(MIN(E37/E41,F37/F41,G37/G41,H37/H41,I37/I41,K37/K41,L37/L41,N37/N41,O37/O41),0)</f>
        <v>3091</v>
      </c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174" t="s">
        <v>284</v>
      </c>
    </row>
    <row r="43" spans="1:17" ht="19.5" thickBot="1">
      <c r="A43" s="330" t="s">
        <v>167</v>
      </c>
      <c r="B43" s="305"/>
      <c r="C43" s="305"/>
      <c r="D43" s="105" t="s">
        <v>224</v>
      </c>
      <c r="E43" s="351">
        <f>ROUND(SUM(E13:P13)/E42,2)</f>
        <v>0.4</v>
      </c>
      <c r="F43" s="352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175" t="s">
        <v>286</v>
      </c>
    </row>
    <row r="44" spans="1:17" ht="15.75" thickBot="1">
      <c r="A44" s="213"/>
      <c r="B44" s="213"/>
      <c r="C44" s="213"/>
      <c r="D44" s="213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7"/>
    </row>
    <row r="45" spans="1:17" ht="15.75" thickBot="1">
      <c r="A45" s="344" t="s">
        <v>175</v>
      </c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256"/>
    </row>
    <row r="46" spans="1:17" ht="15.75" thickBot="1">
      <c r="A46" s="302" t="s">
        <v>52</v>
      </c>
      <c r="B46" s="303"/>
      <c r="C46" s="303"/>
      <c r="D46" s="33" t="s">
        <v>156</v>
      </c>
      <c r="E46" s="313" t="str">
        <f>E8</f>
        <v>GEN. SIKORSKIEGO ZACH.</v>
      </c>
      <c r="F46" s="314"/>
      <c r="G46" s="315"/>
      <c r="H46" s="313" t="str">
        <f t="shared" ref="H46" si="6">H8</f>
        <v>GEN. SIKORSKIEGO WSCH.</v>
      </c>
      <c r="I46" s="314"/>
      <c r="J46" s="315"/>
      <c r="K46" s="313" t="str">
        <f t="shared" ref="K46" si="7">K8</f>
        <v>MONIUSZKI PŁD.</v>
      </c>
      <c r="L46" s="314"/>
      <c r="M46" s="315"/>
      <c r="N46" s="313" t="str">
        <f t="shared" ref="N46" si="8">N8</f>
        <v>MONIUSZKI PŁN.</v>
      </c>
      <c r="O46" s="314"/>
      <c r="P46" s="315"/>
      <c r="Q46" s="197" t="s">
        <v>285</v>
      </c>
    </row>
    <row r="47" spans="1:17" ht="18.75" thickBot="1">
      <c r="A47" s="302" t="s">
        <v>158</v>
      </c>
      <c r="B47" s="303"/>
      <c r="C47" s="303"/>
      <c r="D47" s="71" t="s">
        <v>225</v>
      </c>
      <c r="E47" s="299">
        <v>0.25</v>
      </c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1"/>
      <c r="Q47" s="190" t="s">
        <v>289</v>
      </c>
    </row>
    <row r="48" spans="1:17" ht="18">
      <c r="A48" s="281" t="s">
        <v>92</v>
      </c>
      <c r="B48" s="282"/>
      <c r="C48" s="282"/>
      <c r="D48" s="10" t="s">
        <v>226</v>
      </c>
      <c r="E48" s="85">
        <f>ROUND(1.12*((3600/E37)+900*$E$47*((E38-1)+SQRT(((E38-1)^2)+((3600/E37)*E38)/(450*$E$47))))+(0.027/(1-0.99*E38))-2.2,1)</f>
        <v>2</v>
      </c>
      <c r="F48" s="86">
        <f t="shared" ref="F48:I48" si="9">ROUND(1.12*((3600/F37)+900*$E$47*((F38-1)+SQRT(((F38-1)^2)+((3600/F37)*F38)/(450*$E$47))))+(0.027/(1-0.99*F38))-2.2,1)</f>
        <v>0.8</v>
      </c>
      <c r="G48" s="87">
        <f t="shared" si="9"/>
        <v>0.7</v>
      </c>
      <c r="H48" s="85">
        <f>ROUND(1.12*((3600/H37)+900*$E$47*((H38-1)+SQRT(((H38-1)^2)+((3600/H37)*H38)/(450*$E$47))))+(0.027/(1-0.99*H38))-2.2,1)</f>
        <v>1.6</v>
      </c>
      <c r="I48" s="296">
        <f t="shared" si="9"/>
        <v>0.6</v>
      </c>
      <c r="J48" s="297"/>
      <c r="K48" s="85">
        <f>ROUND(1.12*((3600/K37)+900*$E$47*((K38-1)+SQRT(((K38-1)^2)+((3600/K37)*K38)/(450*$E$47))))+(0.027/(1-0.99*K38))-2.2,1)</f>
        <v>18.100000000000001</v>
      </c>
      <c r="L48" s="296">
        <f t="shared" ref="L48" si="10">ROUND(1.12*((3600/L37)+900*$E$47*((L38-1)+SQRT(((L38-1)^2)+((3600/L37)*L38)/(450*$E$47))))+(0.027/(1-0.99*L38))-2.2,1)</f>
        <v>10.7</v>
      </c>
      <c r="M48" s="297"/>
      <c r="N48" s="85">
        <f>ROUND(1.12*((3600/N37)+900*$E$47*((N38-1)+SQRT(((N38-1)^2)+((3600/N37)*N38)/(450*$E$47))))+(0.027/(1-0.99*N38))-2.2,1)</f>
        <v>15.2</v>
      </c>
      <c r="O48" s="296">
        <f t="shared" ref="O48" si="11">ROUND(1.12*((3600/O37)+900*$E$47*((O38-1)+SQRT(((O38-1)^2)+((3600/O37)*O38)/(450*$E$47))))+(0.027/(1-0.99*O38))-2.2,1)</f>
        <v>10.1</v>
      </c>
      <c r="P48" s="298"/>
      <c r="Q48" s="193" t="s">
        <v>288</v>
      </c>
    </row>
    <row r="49" spans="1:17" ht="15.75" thickBot="1">
      <c r="A49" s="253" t="s">
        <v>169</v>
      </c>
      <c r="B49" s="254"/>
      <c r="C49" s="254"/>
      <c r="D49" s="29" t="s">
        <v>157</v>
      </c>
      <c r="E49" s="110" t="str">
        <f>IF(E48&lt;=15,"PSR I",IF(E48&lt;=30,"PSR II", IF(E48&lt;=50,"PSR III","PSR IV")))</f>
        <v>PSR I</v>
      </c>
      <c r="F49" s="73" t="str">
        <f>IF(F48&lt;=15,"PSR I",IF(F48&lt;=30,"PSR II", IF(F48&lt;=50,"PSR III","PSR IV")))</f>
        <v>PSR I</v>
      </c>
      <c r="G49" s="111" t="str">
        <f>IF(G48&lt;=15,"PSR I",IF(G48&lt;=30,"PSR II", IF(G48&lt;=50,"PSR III","PSR IV")))</f>
        <v>PSR I</v>
      </c>
      <c r="H49" s="110" t="str">
        <f>IF(H48&lt;=15,"PSR I",IF(H48&lt;=30,"PSR II", IF(H48&lt;=50,"PSR III","PSR IV")))</f>
        <v>PSR I</v>
      </c>
      <c r="I49" s="288" t="str">
        <f>IF(I48&lt;=15,"PSR I",IF(I48&lt;=30,"PSR II", IF(I48&lt;=50,"PSR III","PSR IV")))</f>
        <v>PSR I</v>
      </c>
      <c r="J49" s="289"/>
      <c r="K49" s="110" t="str">
        <f>IF(K48&lt;=15,"PSR I",IF(K48&lt;=30,"PSR II", IF(K48&lt;=50,"PSR III","PSR IV")))</f>
        <v>PSR II</v>
      </c>
      <c r="L49" s="288" t="str">
        <f>IF(L48&lt;=15,"PSR I",IF(L48&lt;=30,"PSR II", IF(L48&lt;=50,"PSR III","PSR IV")))</f>
        <v>PSR I</v>
      </c>
      <c r="M49" s="289"/>
      <c r="N49" s="110" t="str">
        <f>IF(N48&lt;=15,"PSR I",IF(N48&lt;=30,"PSR II", IF(N48&lt;=50,"PSR III","PSR IV")))</f>
        <v>PSR II</v>
      </c>
      <c r="O49" s="288" t="str">
        <f>IF(O48&lt;=15,"PSR I",IF(O48&lt;=30,"PSR II", IF(O48&lt;=50,"PSR III","PSR IV")))</f>
        <v>PSR I</v>
      </c>
      <c r="P49" s="290"/>
      <c r="Q49" s="192"/>
    </row>
    <row r="50" spans="1:17" ht="18">
      <c r="A50" s="279" t="s">
        <v>93</v>
      </c>
      <c r="B50" s="280"/>
      <c r="C50" s="280"/>
      <c r="D50" s="109" t="s">
        <v>227</v>
      </c>
      <c r="E50" s="285">
        <f>ROUND((E48*E35+F48*F35+G48*G35)/E15,1)</f>
        <v>1.2</v>
      </c>
      <c r="F50" s="286"/>
      <c r="G50" s="287"/>
      <c r="H50" s="285">
        <f>ROUND((H48*H35+I48*I35+J48*J35)/H15,1)</f>
        <v>1.1000000000000001</v>
      </c>
      <c r="I50" s="286"/>
      <c r="J50" s="287"/>
      <c r="K50" s="285">
        <f>ROUND((K48*K35+L48*L35+M48*M35)/K15,1)</f>
        <v>15.6</v>
      </c>
      <c r="L50" s="286"/>
      <c r="M50" s="287"/>
      <c r="N50" s="285">
        <f>ROUND((N48*N35+O48*O35+P48*P35)/N15,1)</f>
        <v>11.7</v>
      </c>
      <c r="O50" s="286"/>
      <c r="P50" s="286"/>
      <c r="Q50" s="193" t="s">
        <v>288</v>
      </c>
    </row>
    <row r="51" spans="1:17" ht="15.75" thickBot="1">
      <c r="A51" s="253" t="s">
        <v>101</v>
      </c>
      <c r="B51" s="254"/>
      <c r="C51" s="254"/>
      <c r="D51" s="39" t="s">
        <v>157</v>
      </c>
      <c r="E51" s="264" t="str">
        <f>IF(E50&lt;=15,"PSR I",IF(E50&lt;=30,"PSR II", IF(E50&lt;=50,"PSR III","PSR IV")))</f>
        <v>PSR I</v>
      </c>
      <c r="F51" s="290"/>
      <c r="G51" s="289"/>
      <c r="H51" s="264" t="str">
        <f>IF(H50&lt;=15,"PSR I",IF(H50&lt;=30,"PSR II", IF(H50&lt;=50,"PSR III","PSR IV")))</f>
        <v>PSR I</v>
      </c>
      <c r="I51" s="290"/>
      <c r="J51" s="289"/>
      <c r="K51" s="264" t="str">
        <f>IF(K50&lt;=15,"PSR I",IF(K50&lt;=30,"PSR II", IF(K50&lt;=50,"PSR III","PSR IV")))</f>
        <v>PSR II</v>
      </c>
      <c r="L51" s="290"/>
      <c r="M51" s="289"/>
      <c r="N51" s="264" t="str">
        <f>IF(N50&lt;=15,"PSR I",IF(N50&lt;=30,"PSR II", IF(N50&lt;=50,"PSR III","PSR IV")))</f>
        <v>PSR I</v>
      </c>
      <c r="O51" s="290"/>
      <c r="P51" s="290"/>
      <c r="Q51" s="194"/>
    </row>
    <row r="52" spans="1:17" ht="18">
      <c r="A52" s="274" t="s">
        <v>94</v>
      </c>
      <c r="B52" s="275"/>
      <c r="C52" s="275"/>
      <c r="D52" s="84" t="s">
        <v>228</v>
      </c>
      <c r="E52" s="283">
        <f>ROUND((E50*E15+H50*H15+K50*K15+N50*N15)/(E15+H15+K15+N15),1)</f>
        <v>4.8</v>
      </c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191" t="s">
        <v>288</v>
      </c>
    </row>
    <row r="53" spans="1:17" ht="15.75" thickBot="1">
      <c r="A53" s="266" t="s">
        <v>96</v>
      </c>
      <c r="B53" s="265"/>
      <c r="C53" s="267"/>
      <c r="D53" s="34" t="s">
        <v>157</v>
      </c>
      <c r="E53" s="264" t="s">
        <v>176</v>
      </c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194"/>
    </row>
  </sheetData>
  <mergeCells count="119">
    <mergeCell ref="A7:Q7"/>
    <mergeCell ref="Q8:Q10"/>
    <mergeCell ref="A45:Q45"/>
    <mergeCell ref="J2:Q2"/>
    <mergeCell ref="E51:G51"/>
    <mergeCell ref="H51:J51"/>
    <mergeCell ref="K51:M51"/>
    <mergeCell ref="N51:P51"/>
    <mergeCell ref="L37:M37"/>
    <mergeCell ref="L38:M38"/>
    <mergeCell ref="A43:C43"/>
    <mergeCell ref="E42:P42"/>
    <mergeCell ref="E43:P43"/>
    <mergeCell ref="K9:M9"/>
    <mergeCell ref="N9:P9"/>
    <mergeCell ref="K8:M8"/>
    <mergeCell ref="N8:P8"/>
    <mergeCell ref="A23:C23"/>
    <mergeCell ref="A21:C21"/>
    <mergeCell ref="E15:G15"/>
    <mergeCell ref="H15:J15"/>
    <mergeCell ref="K15:M15"/>
    <mergeCell ref="A8:C8"/>
    <mergeCell ref="A9:C9"/>
    <mergeCell ref="A10:C10"/>
    <mergeCell ref="A13:C13"/>
    <mergeCell ref="A14:C14"/>
    <mergeCell ref="E8:G8"/>
    <mergeCell ref="H8:J8"/>
    <mergeCell ref="N15:P15"/>
    <mergeCell ref="A22:C22"/>
    <mergeCell ref="A15:C15"/>
    <mergeCell ref="A16:C16"/>
    <mergeCell ref="A17:C17"/>
    <mergeCell ref="A18:C18"/>
    <mergeCell ref="A19:C19"/>
    <mergeCell ref="A20:C20"/>
    <mergeCell ref="E9:G9"/>
    <mergeCell ref="H9:J9"/>
    <mergeCell ref="E12:G12"/>
    <mergeCell ref="A11:C11"/>
    <mergeCell ref="A12:C12"/>
    <mergeCell ref="H12:J12"/>
    <mergeCell ref="K12:M12"/>
    <mergeCell ref="N12:P12"/>
    <mergeCell ref="A32:C34"/>
    <mergeCell ref="A24:C24"/>
    <mergeCell ref="A25:C25"/>
    <mergeCell ref="A26:C26"/>
    <mergeCell ref="A27:C27"/>
    <mergeCell ref="I38:J38"/>
    <mergeCell ref="A35:C35"/>
    <mergeCell ref="A36:C36"/>
    <mergeCell ref="I31:J31"/>
    <mergeCell ref="I32:J32"/>
    <mergeCell ref="I33:J33"/>
    <mergeCell ref="I34:J34"/>
    <mergeCell ref="I35:J35"/>
    <mergeCell ref="I36:J36"/>
    <mergeCell ref="I37:J37"/>
    <mergeCell ref="A28:C28"/>
    <mergeCell ref="A31:C31"/>
    <mergeCell ref="A29:C29"/>
    <mergeCell ref="A37:C37"/>
    <mergeCell ref="A39:C39"/>
    <mergeCell ref="A40:C40"/>
    <mergeCell ref="A38:C38"/>
    <mergeCell ref="E40:G40"/>
    <mergeCell ref="H40:J40"/>
    <mergeCell ref="E39:G39"/>
    <mergeCell ref="K40:M40"/>
    <mergeCell ref="N40:P40"/>
    <mergeCell ref="A46:C46"/>
    <mergeCell ref="E46:G46"/>
    <mergeCell ref="H46:J46"/>
    <mergeCell ref="K46:M46"/>
    <mergeCell ref="N46:P46"/>
    <mergeCell ref="K39:M39"/>
    <mergeCell ref="N39:P39"/>
    <mergeCell ref="K50:M50"/>
    <mergeCell ref="N50:P50"/>
    <mergeCell ref="A49:C49"/>
    <mergeCell ref="I49:J49"/>
    <mergeCell ref="L49:M49"/>
    <mergeCell ref="O49:P49"/>
    <mergeCell ref="A41:C41"/>
    <mergeCell ref="I41:J41"/>
    <mergeCell ref="L41:M41"/>
    <mergeCell ref="O41:P41"/>
    <mergeCell ref="I48:J48"/>
    <mergeCell ref="L48:M48"/>
    <mergeCell ref="O48:P48"/>
    <mergeCell ref="A42:C42"/>
    <mergeCell ref="E47:P47"/>
    <mergeCell ref="A47:C47"/>
    <mergeCell ref="L32:M32"/>
    <mergeCell ref="A51:C51"/>
    <mergeCell ref="O31:P31"/>
    <mergeCell ref="O32:P32"/>
    <mergeCell ref="O33:P33"/>
    <mergeCell ref="O34:P34"/>
    <mergeCell ref="O35:P35"/>
    <mergeCell ref="O36:P36"/>
    <mergeCell ref="E53:P53"/>
    <mergeCell ref="A53:C53"/>
    <mergeCell ref="O37:P37"/>
    <mergeCell ref="O38:P38"/>
    <mergeCell ref="L31:M31"/>
    <mergeCell ref="L33:M33"/>
    <mergeCell ref="L34:M34"/>
    <mergeCell ref="L35:M35"/>
    <mergeCell ref="L36:M36"/>
    <mergeCell ref="A52:C52"/>
    <mergeCell ref="H39:J39"/>
    <mergeCell ref="A50:C50"/>
    <mergeCell ref="A48:C48"/>
    <mergeCell ref="E52:P52"/>
    <mergeCell ref="E50:G50"/>
    <mergeCell ref="H50:J5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H29 M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92"/>
  <sheetViews>
    <sheetView workbookViewId="0">
      <selection activeCell="I74" sqref="I74:J74"/>
    </sheetView>
  </sheetViews>
  <sheetFormatPr defaultRowHeight="15"/>
  <sheetData>
    <row r="2" spans="1:17">
      <c r="A2" s="9" t="s">
        <v>265</v>
      </c>
      <c r="J2" s="348" t="str">
        <f>DANE</f>
        <v>Rok 2016 - szczyt popołudniowy</v>
      </c>
      <c r="K2" s="348"/>
      <c r="L2" s="348"/>
      <c r="M2" s="348"/>
      <c r="N2" s="348"/>
      <c r="O2" s="348"/>
      <c r="P2" s="348"/>
      <c r="Q2" s="348"/>
    </row>
    <row r="3" spans="1:17">
      <c r="A3" s="9" t="s">
        <v>268</v>
      </c>
    </row>
    <row r="4" spans="1:17">
      <c r="A4" t="s">
        <v>164</v>
      </c>
    </row>
    <row r="5" spans="1:17" ht="18">
      <c r="A5" s="72" t="s">
        <v>280</v>
      </c>
    </row>
    <row r="6" spans="1:17" ht="15.75" thickBot="1"/>
    <row r="7" spans="1:17" ht="15.75" thickBot="1">
      <c r="A7" s="344" t="s">
        <v>105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256"/>
    </row>
    <row r="8" spans="1:17">
      <c r="A8" s="334" t="s">
        <v>52</v>
      </c>
      <c r="B8" s="335"/>
      <c r="C8" s="335"/>
      <c r="D8" s="13" t="s">
        <v>156</v>
      </c>
      <c r="E8" s="336" t="str">
        <f>'Skrzyżowanie bez sygnalizacji'!E8:G8</f>
        <v>GEN. SIKORSKIEGO ZACH.</v>
      </c>
      <c r="F8" s="280"/>
      <c r="G8" s="337"/>
      <c r="H8" s="336" t="str">
        <f>'Skrzyżowanie bez sygnalizacji'!H8:J8</f>
        <v>GEN. SIKORSKIEGO WSCH.</v>
      </c>
      <c r="I8" s="280"/>
      <c r="J8" s="337"/>
      <c r="K8" s="336" t="str">
        <f>'Skrzyżowanie bez sygnalizacji'!K8:M8</f>
        <v>MONIUSZKI PŁD.</v>
      </c>
      <c r="L8" s="280"/>
      <c r="M8" s="337"/>
      <c r="N8" s="336" t="str">
        <f>'Skrzyżowanie bez sygnalizacji'!N8:P8</f>
        <v>MONIUSZKI PŁN.</v>
      </c>
      <c r="O8" s="280"/>
      <c r="P8" s="391"/>
      <c r="Q8" s="346" t="s">
        <v>285</v>
      </c>
    </row>
    <row r="9" spans="1:17">
      <c r="A9" s="325" t="s">
        <v>59</v>
      </c>
      <c r="B9" s="326"/>
      <c r="C9" s="326"/>
      <c r="D9" s="11" t="s">
        <v>157</v>
      </c>
      <c r="E9" s="339" t="s">
        <v>58</v>
      </c>
      <c r="F9" s="326"/>
      <c r="G9" s="340"/>
      <c r="H9" s="339" t="s">
        <v>58</v>
      </c>
      <c r="I9" s="326"/>
      <c r="J9" s="340"/>
      <c r="K9" s="339" t="s">
        <v>60</v>
      </c>
      <c r="L9" s="326"/>
      <c r="M9" s="340"/>
      <c r="N9" s="339" t="s">
        <v>60</v>
      </c>
      <c r="O9" s="326"/>
      <c r="P9" s="371"/>
      <c r="Q9" s="347"/>
    </row>
    <row r="10" spans="1:17" ht="15.75" thickBot="1">
      <c r="A10" s="253" t="s">
        <v>61</v>
      </c>
      <c r="B10" s="254"/>
      <c r="C10" s="254"/>
      <c r="D10" s="12" t="s">
        <v>155</v>
      </c>
      <c r="E10" s="75" t="s">
        <v>54</v>
      </c>
      <c r="F10" s="163" t="s">
        <v>53</v>
      </c>
      <c r="G10" s="76" t="s">
        <v>55</v>
      </c>
      <c r="H10" s="75" t="s">
        <v>62</v>
      </c>
      <c r="I10" s="163" t="s">
        <v>63</v>
      </c>
      <c r="J10" s="76" t="s">
        <v>64</v>
      </c>
      <c r="K10" s="75" t="s">
        <v>65</v>
      </c>
      <c r="L10" s="163" t="s">
        <v>66</v>
      </c>
      <c r="M10" s="76" t="s">
        <v>43</v>
      </c>
      <c r="N10" s="75" t="s">
        <v>67</v>
      </c>
      <c r="O10" s="163" t="s">
        <v>68</v>
      </c>
      <c r="P10" s="167" t="s">
        <v>69</v>
      </c>
      <c r="Q10" s="415"/>
    </row>
    <row r="11" spans="1:17" ht="18">
      <c r="A11" s="334" t="s">
        <v>200</v>
      </c>
      <c r="B11" s="335"/>
      <c r="C11" s="335"/>
      <c r="D11" s="13" t="s">
        <v>201</v>
      </c>
      <c r="E11" s="162">
        <f>QALM</f>
        <v>89</v>
      </c>
      <c r="F11" s="142">
        <f>QAWM</f>
        <v>274</v>
      </c>
      <c r="G11" s="16">
        <f>QAPM</f>
        <v>128</v>
      </c>
      <c r="H11" s="162">
        <f>QBLM</f>
        <v>34</v>
      </c>
      <c r="I11" s="142">
        <f>QBWM</f>
        <v>218</v>
      </c>
      <c r="J11" s="16">
        <f>QBPM</f>
        <v>36</v>
      </c>
      <c r="K11" s="162">
        <f>QCLM</f>
        <v>94</v>
      </c>
      <c r="L11" s="142">
        <f>QCWM</f>
        <v>35</v>
      </c>
      <c r="M11" s="16">
        <f>QCPM</f>
        <v>12</v>
      </c>
      <c r="N11" s="162">
        <f>QDLM</f>
        <v>41</v>
      </c>
      <c r="O11" s="142">
        <f>QDWM</f>
        <v>42</v>
      </c>
      <c r="P11" s="36">
        <f>QDPM</f>
        <v>51</v>
      </c>
      <c r="Q11" s="191" t="s">
        <v>284</v>
      </c>
    </row>
    <row r="12" spans="1:17" ht="18">
      <c r="A12" s="343" t="s">
        <v>199</v>
      </c>
      <c r="B12" s="338"/>
      <c r="C12" s="339"/>
      <c r="D12" s="13" t="s">
        <v>202</v>
      </c>
      <c r="E12" s="343">
        <f>A.k15</f>
        <v>0.86</v>
      </c>
      <c r="F12" s="338"/>
      <c r="G12" s="342"/>
      <c r="H12" s="343">
        <f>B.k15</f>
        <v>0.95</v>
      </c>
      <c r="I12" s="338"/>
      <c r="J12" s="342"/>
      <c r="K12" s="343">
        <f>C.k15</f>
        <v>0.73</v>
      </c>
      <c r="L12" s="338"/>
      <c r="M12" s="342"/>
      <c r="N12" s="343">
        <f>D.k15</f>
        <v>0.86</v>
      </c>
      <c r="O12" s="338"/>
      <c r="P12" s="338"/>
      <c r="Q12" s="195" t="s">
        <v>286</v>
      </c>
    </row>
    <row r="13" spans="1:17" ht="18">
      <c r="A13" s="334" t="s">
        <v>159</v>
      </c>
      <c r="B13" s="335"/>
      <c r="C13" s="335"/>
      <c r="D13" s="13" t="s">
        <v>203</v>
      </c>
      <c r="E13" s="162">
        <f>QAL</f>
        <v>103</v>
      </c>
      <c r="F13" s="142">
        <f>QAW</f>
        <v>319</v>
      </c>
      <c r="G13" s="16">
        <f>QAP</f>
        <v>149</v>
      </c>
      <c r="H13" s="162">
        <f>QBL</f>
        <v>36</v>
      </c>
      <c r="I13" s="142">
        <f>QBW</f>
        <v>229</v>
      </c>
      <c r="J13" s="16">
        <f>QBP</f>
        <v>38</v>
      </c>
      <c r="K13" s="162">
        <f>QCL</f>
        <v>129</v>
      </c>
      <c r="L13" s="142">
        <f>QCW</f>
        <v>48</v>
      </c>
      <c r="M13" s="16">
        <f>QCP</f>
        <v>16</v>
      </c>
      <c r="N13" s="162">
        <f>QDL</f>
        <v>48</v>
      </c>
      <c r="O13" s="142">
        <f>QDW</f>
        <v>49</v>
      </c>
      <c r="P13" s="36">
        <f>QDP</f>
        <v>59</v>
      </c>
      <c r="Q13" s="174" t="s">
        <v>284</v>
      </c>
    </row>
    <row r="14" spans="1:17" ht="18">
      <c r="A14" s="325" t="s">
        <v>70</v>
      </c>
      <c r="B14" s="326"/>
      <c r="C14" s="326"/>
      <c r="D14" s="11" t="s">
        <v>204</v>
      </c>
      <c r="E14" s="21">
        <f>'Skrzyżowanie bez sygnalizacji'!E14</f>
        <v>7.9000000000000001E-2</v>
      </c>
      <c r="F14" s="22">
        <f>'Skrzyżowanie bez sygnalizacji'!F14</f>
        <v>0.08</v>
      </c>
      <c r="G14" s="23">
        <f>'Skrzyżowanie bez sygnalizacji'!G14</f>
        <v>5.7000000000000002E-2</v>
      </c>
      <c r="H14" s="21">
        <f>'Skrzyżowanie bez sygnalizacji'!H14</f>
        <v>5.8999999999999997E-2</v>
      </c>
      <c r="I14" s="22">
        <f>'Skrzyżowanie bez sygnalizacji'!I14</f>
        <v>9.1999999999999998E-2</v>
      </c>
      <c r="J14" s="23">
        <f>'Skrzyżowanie bez sygnalizacji'!J14</f>
        <v>2.8000000000000001E-2</v>
      </c>
      <c r="K14" s="21">
        <f>'Skrzyżowanie bez sygnalizacji'!K14</f>
        <v>8.5000000000000006E-2</v>
      </c>
      <c r="L14" s="22">
        <f>'Skrzyżowanie bez sygnalizacji'!L14</f>
        <v>5.7000000000000002E-2</v>
      </c>
      <c r="M14" s="23">
        <f>'Skrzyżowanie bez sygnalizacji'!M14</f>
        <v>0.16700000000000001</v>
      </c>
      <c r="N14" s="21">
        <f>'Skrzyżowanie bez sygnalizacji'!N14</f>
        <v>2.4E-2</v>
      </c>
      <c r="O14" s="22">
        <f>'Skrzyżowanie bez sygnalizacji'!O14</f>
        <v>4.8000000000000001E-2</v>
      </c>
      <c r="P14" s="198">
        <f>'Skrzyżowanie bez sygnalizacji'!P14</f>
        <v>7.8E-2</v>
      </c>
      <c r="Q14" s="174" t="s">
        <v>286</v>
      </c>
    </row>
    <row r="15" spans="1:17">
      <c r="A15" s="325" t="s">
        <v>71</v>
      </c>
      <c r="B15" s="326"/>
      <c r="C15" s="326"/>
      <c r="D15" s="14" t="s">
        <v>46</v>
      </c>
      <c r="E15" s="338">
        <f>SUM(E13:G13)</f>
        <v>571</v>
      </c>
      <c r="F15" s="338"/>
      <c r="G15" s="342"/>
      <c r="H15" s="338">
        <f>SUM(H13:J13)</f>
        <v>303</v>
      </c>
      <c r="I15" s="338"/>
      <c r="J15" s="342"/>
      <c r="K15" s="338">
        <f>SUM(K13:M13)</f>
        <v>193</v>
      </c>
      <c r="L15" s="338"/>
      <c r="M15" s="342"/>
      <c r="N15" s="338">
        <f>SUM(N13:P13)</f>
        <v>156</v>
      </c>
      <c r="O15" s="338"/>
      <c r="P15" s="338"/>
      <c r="Q15" s="174" t="s">
        <v>284</v>
      </c>
    </row>
    <row r="16" spans="1:17" ht="18.75" thickBot="1">
      <c r="A16" s="253" t="s">
        <v>72</v>
      </c>
      <c r="B16" s="254"/>
      <c r="C16" s="254"/>
      <c r="D16" s="12" t="s">
        <v>205</v>
      </c>
      <c r="E16" s="24">
        <f>ROUND(E13/E15,2)</f>
        <v>0.18</v>
      </c>
      <c r="F16" s="25">
        <f>ROUND(F13/E15,2)</f>
        <v>0.56000000000000005</v>
      </c>
      <c r="G16" s="26">
        <f>ROUND(G13/E15,2)</f>
        <v>0.26</v>
      </c>
      <c r="H16" s="24">
        <f>ROUND(H13/H15,2)</f>
        <v>0.12</v>
      </c>
      <c r="I16" s="25">
        <f>ROUND(I13/H15,2)</f>
        <v>0.76</v>
      </c>
      <c r="J16" s="26">
        <f>ROUND(J13/H15,2)</f>
        <v>0.13</v>
      </c>
      <c r="K16" s="24">
        <f>ROUND(K13/K15,2)</f>
        <v>0.67</v>
      </c>
      <c r="L16" s="25">
        <f>ROUND(L13/K15,2)</f>
        <v>0.25</v>
      </c>
      <c r="M16" s="26">
        <f>ROUND(M13/K15,2)</f>
        <v>0.08</v>
      </c>
      <c r="N16" s="24">
        <f>ROUND(N13/N15,2)</f>
        <v>0.31</v>
      </c>
      <c r="O16" s="25">
        <f>ROUND(O13/N15,2)</f>
        <v>0.31</v>
      </c>
      <c r="P16" s="168">
        <f>ROUND(P13/N15,2)</f>
        <v>0.38</v>
      </c>
      <c r="Q16" s="179" t="s">
        <v>286</v>
      </c>
    </row>
    <row r="17" spans="1:17">
      <c r="A17" s="281" t="s">
        <v>107</v>
      </c>
      <c r="B17" s="282"/>
      <c r="C17" s="282"/>
      <c r="D17" s="10" t="s">
        <v>103</v>
      </c>
      <c r="E17" s="396">
        <v>11</v>
      </c>
      <c r="F17" s="396"/>
      <c r="G17" s="407"/>
      <c r="H17" s="396">
        <v>9</v>
      </c>
      <c r="I17" s="396"/>
      <c r="J17" s="407"/>
      <c r="K17" s="140">
        <v>8</v>
      </c>
      <c r="L17" s="396">
        <v>8</v>
      </c>
      <c r="M17" s="407"/>
      <c r="N17" s="140">
        <f>K17</f>
        <v>8</v>
      </c>
      <c r="O17" s="396">
        <f>L17</f>
        <v>8</v>
      </c>
      <c r="P17" s="396"/>
      <c r="Q17" s="173" t="s">
        <v>288</v>
      </c>
    </row>
    <row r="18" spans="1:17">
      <c r="A18" s="325" t="s">
        <v>106</v>
      </c>
      <c r="B18" s="326"/>
      <c r="C18" s="326"/>
      <c r="D18" s="11" t="s">
        <v>104</v>
      </c>
      <c r="E18" s="343">
        <v>3</v>
      </c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174" t="s">
        <v>288</v>
      </c>
    </row>
    <row r="19" spans="1:17">
      <c r="A19" s="325" t="s">
        <v>108</v>
      </c>
      <c r="B19" s="326"/>
      <c r="C19" s="326"/>
      <c r="D19" s="14" t="s">
        <v>109</v>
      </c>
      <c r="E19" s="343">
        <f>SUM(E17:M17)+20</f>
        <v>56</v>
      </c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338"/>
      <c r="Q19" s="174" t="s">
        <v>288</v>
      </c>
    </row>
    <row r="20" spans="1:17" ht="18">
      <c r="A20" s="325" t="s">
        <v>112</v>
      </c>
      <c r="B20" s="326"/>
      <c r="C20" s="326"/>
      <c r="D20" s="14" t="s">
        <v>229</v>
      </c>
      <c r="E20" s="343">
        <v>2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174" t="s">
        <v>288</v>
      </c>
    </row>
    <row r="21" spans="1:17" ht="18">
      <c r="A21" s="343" t="s">
        <v>110</v>
      </c>
      <c r="B21" s="338"/>
      <c r="C21" s="339"/>
      <c r="D21" s="11" t="s">
        <v>230</v>
      </c>
      <c r="E21" s="343">
        <f>E17+$E$18-$E$20</f>
        <v>12</v>
      </c>
      <c r="F21" s="338"/>
      <c r="G21" s="342"/>
      <c r="H21" s="343">
        <f>H17+$E$18-$E$20</f>
        <v>10</v>
      </c>
      <c r="I21" s="338"/>
      <c r="J21" s="342"/>
      <c r="K21" s="135">
        <f>K17+$E$18-$E$20</f>
        <v>9</v>
      </c>
      <c r="L21" s="338">
        <f>L17+$E$18-$E$20</f>
        <v>9</v>
      </c>
      <c r="M21" s="342"/>
      <c r="N21" s="135">
        <f>N17+E18-$E$20</f>
        <v>9</v>
      </c>
      <c r="O21" s="338">
        <f>O17+$E$18-$E$20</f>
        <v>9</v>
      </c>
      <c r="P21" s="338"/>
      <c r="Q21" s="174" t="s">
        <v>288</v>
      </c>
    </row>
    <row r="22" spans="1:17">
      <c r="A22" s="343" t="s">
        <v>118</v>
      </c>
      <c r="B22" s="338"/>
      <c r="C22" s="339"/>
      <c r="D22" s="35" t="s">
        <v>119</v>
      </c>
      <c r="E22" s="343">
        <f>ROUND(E21/$E$19,2)</f>
        <v>0.21</v>
      </c>
      <c r="F22" s="338"/>
      <c r="G22" s="342"/>
      <c r="H22" s="343">
        <f>ROUND(H21/$E$19,2)</f>
        <v>0.18</v>
      </c>
      <c r="I22" s="338"/>
      <c r="J22" s="342"/>
      <c r="K22" s="135">
        <f>ROUND(K21/$E$19,2)</f>
        <v>0.16</v>
      </c>
      <c r="L22" s="338">
        <f>ROUND(L21/$E$19,2)</f>
        <v>0.16</v>
      </c>
      <c r="M22" s="342"/>
      <c r="N22" s="135">
        <f>ROUND(N21/$E$19,2)</f>
        <v>0.16</v>
      </c>
      <c r="O22" s="338">
        <f>ROUND(O21/$E$19,2)</f>
        <v>0.16</v>
      </c>
      <c r="P22" s="338"/>
      <c r="Q22" s="174" t="s">
        <v>286</v>
      </c>
    </row>
    <row r="23" spans="1:17" ht="18.75" thickBot="1">
      <c r="A23" s="253" t="s">
        <v>111</v>
      </c>
      <c r="B23" s="254"/>
      <c r="C23" s="254"/>
      <c r="D23" s="12" t="s">
        <v>231</v>
      </c>
      <c r="E23" s="290">
        <f>$E$19-E21</f>
        <v>44</v>
      </c>
      <c r="F23" s="290"/>
      <c r="G23" s="289"/>
      <c r="H23" s="290">
        <f>$E$19-H21</f>
        <v>46</v>
      </c>
      <c r="I23" s="290"/>
      <c r="J23" s="289"/>
      <c r="K23" s="136">
        <f>$E$19-K21</f>
        <v>47</v>
      </c>
      <c r="L23" s="290">
        <f>$E$19-L21</f>
        <v>47</v>
      </c>
      <c r="M23" s="289"/>
      <c r="N23" s="136">
        <f>$E$19-N21</f>
        <v>47</v>
      </c>
      <c r="O23" s="290">
        <f>$E$19-O21</f>
        <v>47</v>
      </c>
      <c r="P23" s="290"/>
      <c r="Q23" s="175" t="s">
        <v>288</v>
      </c>
    </row>
    <row r="24" spans="1:17" ht="18">
      <c r="A24" s="334" t="s">
        <v>113</v>
      </c>
      <c r="B24" s="335"/>
      <c r="C24" s="335"/>
      <c r="D24" s="13" t="s">
        <v>232</v>
      </c>
      <c r="E24" s="162">
        <v>1900</v>
      </c>
      <c r="F24" s="142">
        <v>1900</v>
      </c>
      <c r="G24" s="16">
        <v>1900</v>
      </c>
      <c r="H24" s="162">
        <v>1900</v>
      </c>
      <c r="I24" s="142">
        <v>1900</v>
      </c>
      <c r="J24" s="16">
        <v>1900</v>
      </c>
      <c r="K24" s="162">
        <v>1900</v>
      </c>
      <c r="L24" s="142">
        <v>1900</v>
      </c>
      <c r="M24" s="16">
        <v>1900</v>
      </c>
      <c r="N24" s="162">
        <v>1900</v>
      </c>
      <c r="O24" s="142">
        <v>1900</v>
      </c>
      <c r="P24" s="36">
        <v>1900</v>
      </c>
      <c r="Q24" s="176" t="s">
        <v>290</v>
      </c>
    </row>
    <row r="25" spans="1:17">
      <c r="A25" s="343" t="s">
        <v>114</v>
      </c>
      <c r="B25" s="338"/>
      <c r="C25" s="339"/>
      <c r="D25" s="11" t="s">
        <v>115</v>
      </c>
      <c r="E25" s="143">
        <v>3.5</v>
      </c>
      <c r="F25" s="133">
        <v>3.5</v>
      </c>
      <c r="G25" s="139">
        <v>3.5</v>
      </c>
      <c r="H25" s="143">
        <v>3.4</v>
      </c>
      <c r="I25" s="133">
        <v>3.4</v>
      </c>
      <c r="J25" s="139">
        <v>3.4</v>
      </c>
      <c r="K25" s="135">
        <v>3.5</v>
      </c>
      <c r="L25" s="338">
        <v>3.6</v>
      </c>
      <c r="M25" s="342"/>
      <c r="N25" s="135">
        <v>3.4</v>
      </c>
      <c r="O25" s="338">
        <v>3.5</v>
      </c>
      <c r="P25" s="338"/>
      <c r="Q25" s="174" t="s">
        <v>287</v>
      </c>
    </row>
    <row r="26" spans="1:17" ht="15.75" thickBot="1">
      <c r="A26" s="405" t="s">
        <v>117</v>
      </c>
      <c r="B26" s="406"/>
      <c r="C26" s="406"/>
      <c r="D26" s="30" t="s">
        <v>2</v>
      </c>
      <c r="E26" s="31">
        <v>14.5</v>
      </c>
      <c r="F26" s="155" t="s">
        <v>157</v>
      </c>
      <c r="G26" s="32">
        <v>12.5</v>
      </c>
      <c r="H26" s="31">
        <v>12.5</v>
      </c>
      <c r="I26" s="155" t="s">
        <v>157</v>
      </c>
      <c r="J26" s="32">
        <v>16</v>
      </c>
      <c r="K26" s="31">
        <v>22</v>
      </c>
      <c r="L26" s="155" t="s">
        <v>157</v>
      </c>
      <c r="M26" s="32">
        <v>16.5</v>
      </c>
      <c r="N26" s="31">
        <v>25</v>
      </c>
      <c r="O26" s="155" t="s">
        <v>157</v>
      </c>
      <c r="P26" s="199">
        <v>15.5</v>
      </c>
      <c r="Q26" s="179" t="s">
        <v>287</v>
      </c>
    </row>
    <row r="27" spans="1:17">
      <c r="A27" s="356" t="s">
        <v>161</v>
      </c>
      <c r="B27" s="357"/>
      <c r="C27" s="358"/>
      <c r="D27" s="77" t="s">
        <v>163</v>
      </c>
      <c r="E27" s="359">
        <v>0.06</v>
      </c>
      <c r="F27" s="357"/>
      <c r="G27" s="360"/>
      <c r="H27" s="359">
        <v>0.06</v>
      </c>
      <c r="I27" s="357"/>
      <c r="J27" s="360"/>
      <c r="K27" s="359">
        <v>0.02</v>
      </c>
      <c r="L27" s="357"/>
      <c r="M27" s="360"/>
      <c r="N27" s="367">
        <v>1.4999999999999999E-2</v>
      </c>
      <c r="O27" s="368"/>
      <c r="P27" s="368"/>
      <c r="Q27" s="173" t="s">
        <v>286</v>
      </c>
    </row>
    <row r="28" spans="1:17" ht="19.5" thickBot="1">
      <c r="A28" s="264" t="s">
        <v>162</v>
      </c>
      <c r="B28" s="290"/>
      <c r="C28" s="385"/>
      <c r="D28" s="78" t="s">
        <v>233</v>
      </c>
      <c r="E28" s="264">
        <v>0</v>
      </c>
      <c r="F28" s="290"/>
      <c r="G28" s="289"/>
      <c r="H28" s="264">
        <v>1</v>
      </c>
      <c r="I28" s="290"/>
      <c r="J28" s="289"/>
      <c r="K28" s="264">
        <v>1</v>
      </c>
      <c r="L28" s="290"/>
      <c r="M28" s="289"/>
      <c r="N28" s="264">
        <v>1</v>
      </c>
      <c r="O28" s="290"/>
      <c r="P28" s="290"/>
      <c r="Q28" s="175" t="s">
        <v>286</v>
      </c>
    </row>
    <row r="29" spans="1:17" ht="15.75" thickBot="1">
      <c r="A29" s="302" t="s">
        <v>120</v>
      </c>
      <c r="B29" s="303"/>
      <c r="C29" s="303"/>
      <c r="D29" s="33" t="s">
        <v>116</v>
      </c>
      <c r="E29" s="79">
        <f>ROUND((E24+80*(E25-3.5)-30*E27*E28)*((0.001*E26+1.025)/(1+2/E26))*(1/(1+E14)),0)</f>
        <v>1609</v>
      </c>
      <c r="F29" s="145">
        <f>ROUND((F24+200*(E25-3.5)-30*E27*E28)*(1/(1+F14)),0)</f>
        <v>1759</v>
      </c>
      <c r="G29" s="153">
        <f>ROUND((G24+80*(E25-3.5)-160-30*E27*E28)*((0.001*G26+1.025)/(1+2/G26))*(1/(1+G14)),0)</f>
        <v>1472</v>
      </c>
      <c r="H29" s="79">
        <f>ROUND((H24+80*(H25-3.5)-30*H27*H28)*((0.001*H26+1.025)/(1+2/H26))*(1/(1+H14)),0)</f>
        <v>1596</v>
      </c>
      <c r="I29" s="145">
        <f>ROUND((I24+200*(H25-3.5)-30*H27*H28)*(1/(1+I14)),0)</f>
        <v>1720</v>
      </c>
      <c r="J29" s="153">
        <f>ROUND((J24+80*(H25-3.5)-160-30*H27*H28)*((0.001*J26+1.025)/(1+2/J26))*(1/(1+J14)),0)</f>
        <v>1557</v>
      </c>
      <c r="K29" s="79">
        <f>ROUND((K24+80*(K25-3.5)-30*K27*K28)*((0.001*K26+1.025)/(1+2/K26))*(1/(1+K14)),0)</f>
        <v>1680</v>
      </c>
      <c r="L29" s="145">
        <f>ROUND((L24+200*(L25-3.5)-30*K27*K28)*(1/(1+L14)),0)</f>
        <v>1816</v>
      </c>
      <c r="M29" s="153">
        <f>ROUND((M24+80*(L25-3.5)-160-30*K27*K28)*((0.001*M26+1.025)/(1+2/M26))*(1/(1+M14)),0)</f>
        <v>1391</v>
      </c>
      <c r="N29" s="79">
        <f>ROUND((N24+80*(L25-3.5)-160)*((0.001*N26+1.025)/(1+2/N26))*(1/(1+N14)),0)</f>
        <v>1660</v>
      </c>
      <c r="O29" s="145">
        <f>ROUND((O24+200*(O25-3.5)-30*N27*N28)*(1/(1+O14)),0)</f>
        <v>1813</v>
      </c>
      <c r="P29" s="152">
        <f>ROUND((P24+80*(O25-3.5)-160-30*N27*N28)*((0.001*P26+1.025)/(1+2/P26))*(1/(1+P14)),0)</f>
        <v>1487</v>
      </c>
      <c r="Q29" s="200" t="s">
        <v>284</v>
      </c>
    </row>
    <row r="30" spans="1:17" ht="15.75" thickBot="1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5.75" thickBot="1">
      <c r="A31" s="302" t="s">
        <v>147</v>
      </c>
      <c r="B31" s="303"/>
      <c r="C31" s="303"/>
      <c r="D31" s="65" t="s">
        <v>154</v>
      </c>
      <c r="E31" s="66" t="s">
        <v>146</v>
      </c>
      <c r="F31" s="147" t="s">
        <v>53</v>
      </c>
      <c r="G31" s="148" t="s">
        <v>55</v>
      </c>
      <c r="H31" s="66" t="s">
        <v>148</v>
      </c>
      <c r="I31" s="255" t="s">
        <v>149</v>
      </c>
      <c r="J31" s="256"/>
      <c r="K31" s="66" t="s">
        <v>65</v>
      </c>
      <c r="L31" s="255" t="s">
        <v>150</v>
      </c>
      <c r="M31" s="256"/>
      <c r="N31" s="146" t="s">
        <v>67</v>
      </c>
      <c r="O31" s="255" t="s">
        <v>151</v>
      </c>
      <c r="P31" s="345"/>
      <c r="Q31" s="197" t="s">
        <v>285</v>
      </c>
    </row>
    <row r="32" spans="1:17" ht="18">
      <c r="A32" s="316" t="s">
        <v>86</v>
      </c>
      <c r="B32" s="317"/>
      <c r="C32" s="318"/>
      <c r="D32" s="64" t="s">
        <v>247</v>
      </c>
      <c r="E32" s="67">
        <f>ROUND(QAL/(0.5*(QAL+QAW)),3)</f>
        <v>0.48799999999999999</v>
      </c>
      <c r="F32" s="50"/>
      <c r="G32" s="18"/>
      <c r="H32" s="67">
        <f>ROUND(QBL/(0.5*(QBL+QBW+QBP)),3)</f>
        <v>0.23799999999999999</v>
      </c>
      <c r="I32" s="251"/>
      <c r="J32" s="252"/>
      <c r="K32" s="165"/>
      <c r="L32" s="251"/>
      <c r="M32" s="252"/>
      <c r="N32" s="82"/>
      <c r="O32" s="251"/>
      <c r="P32" s="257"/>
      <c r="Q32" s="193" t="s">
        <v>286</v>
      </c>
    </row>
    <row r="33" spans="1:17" ht="18">
      <c r="A33" s="319"/>
      <c r="B33" s="320"/>
      <c r="C33" s="321"/>
      <c r="D33" s="64" t="s">
        <v>248</v>
      </c>
      <c r="E33" s="83">
        <f>1-E32</f>
        <v>0.51200000000000001</v>
      </c>
      <c r="F33" s="166">
        <v>1</v>
      </c>
      <c r="G33" s="18"/>
      <c r="H33" s="83">
        <f>1-H32</f>
        <v>0.76200000000000001</v>
      </c>
      <c r="I33" s="258">
        <f>1-I34</f>
        <v>0.749</v>
      </c>
      <c r="J33" s="270"/>
      <c r="K33" s="83">
        <v>1</v>
      </c>
      <c r="L33" s="258">
        <f>ROUND(QCW/(QCW+QCP),3)</f>
        <v>0.75</v>
      </c>
      <c r="M33" s="270"/>
      <c r="N33" s="80">
        <v>1</v>
      </c>
      <c r="O33" s="258">
        <f>ROUND(QDW/(QDW+QDP),3)</f>
        <v>0.45400000000000001</v>
      </c>
      <c r="P33" s="259"/>
      <c r="Q33" s="195" t="s">
        <v>286</v>
      </c>
    </row>
    <row r="34" spans="1:17" ht="18">
      <c r="A34" s="322"/>
      <c r="B34" s="323"/>
      <c r="C34" s="324"/>
      <c r="D34" s="64" t="s">
        <v>249</v>
      </c>
      <c r="E34" s="83"/>
      <c r="F34" s="166"/>
      <c r="G34" s="18">
        <v>1</v>
      </c>
      <c r="H34" s="83"/>
      <c r="I34" s="258">
        <f>ROUND(QBP/(0.5*(QBL+QBW+QBP)),3)</f>
        <v>0.251</v>
      </c>
      <c r="J34" s="270"/>
      <c r="K34" s="81"/>
      <c r="L34" s="258">
        <f>1-L33</f>
        <v>0.25</v>
      </c>
      <c r="M34" s="270"/>
      <c r="N34" s="82"/>
      <c r="O34" s="258">
        <f>1-O33</f>
        <v>0.54600000000000004</v>
      </c>
      <c r="P34" s="259"/>
      <c r="Q34" s="195" t="s">
        <v>286</v>
      </c>
    </row>
    <row r="35" spans="1:17" ht="18">
      <c r="A35" s="325" t="s">
        <v>152</v>
      </c>
      <c r="B35" s="326"/>
      <c r="C35" s="326"/>
      <c r="D35" s="64" t="s">
        <v>216</v>
      </c>
      <c r="E35" s="68">
        <f>ROUND(0.5*(QAL+QAW),0)</f>
        <v>211</v>
      </c>
      <c r="F35" s="69">
        <f>ROUND(0.5*(QAL+QAW),0)</f>
        <v>211</v>
      </c>
      <c r="G35" s="70">
        <f>QAP</f>
        <v>149</v>
      </c>
      <c r="H35" s="68">
        <f>0.5*(QBL+QBW+QBP)</f>
        <v>151.5</v>
      </c>
      <c r="I35" s="260">
        <f>0.5*(QBL+QBW+QBP)</f>
        <v>151.5</v>
      </c>
      <c r="J35" s="271"/>
      <c r="K35" s="68">
        <f>QCL</f>
        <v>129</v>
      </c>
      <c r="L35" s="260">
        <f>QCW+QCP</f>
        <v>64</v>
      </c>
      <c r="M35" s="271"/>
      <c r="N35" s="206">
        <f>QDL</f>
        <v>48</v>
      </c>
      <c r="O35" s="260">
        <f>QDW+QDP</f>
        <v>108</v>
      </c>
      <c r="P35" s="261"/>
      <c r="Q35" s="195" t="s">
        <v>284</v>
      </c>
    </row>
    <row r="36" spans="1:17" ht="18">
      <c r="A36" s="343" t="s">
        <v>153</v>
      </c>
      <c r="B36" s="338"/>
      <c r="C36" s="339"/>
      <c r="D36" s="90" t="s">
        <v>217</v>
      </c>
      <c r="E36" s="67">
        <f>E35/$E$15</f>
        <v>0.36952714535901926</v>
      </c>
      <c r="F36" s="50">
        <f t="shared" ref="F36:G36" si="0">F35/$E$15</f>
        <v>0.36952714535901926</v>
      </c>
      <c r="G36" s="18">
        <f t="shared" si="0"/>
        <v>0.26094570928196148</v>
      </c>
      <c r="H36" s="67">
        <f>H35/$H$15</f>
        <v>0.5</v>
      </c>
      <c r="I36" s="363">
        <f>I35/$H$15</f>
        <v>0.5</v>
      </c>
      <c r="J36" s="364"/>
      <c r="K36" s="67">
        <f>K35/$K$15</f>
        <v>0.66839378238341973</v>
      </c>
      <c r="L36" s="363">
        <f>L35/$K$15</f>
        <v>0.33160621761658032</v>
      </c>
      <c r="M36" s="364"/>
      <c r="N36" s="17">
        <f>N35/$N$15</f>
        <v>0.30769230769230771</v>
      </c>
      <c r="O36" s="363">
        <f>O35/$N$15</f>
        <v>0.69230769230769229</v>
      </c>
      <c r="P36" s="375"/>
      <c r="Q36" s="195" t="s">
        <v>286</v>
      </c>
    </row>
    <row r="37" spans="1:17" ht="18">
      <c r="A37" s="291" t="s">
        <v>121</v>
      </c>
      <c r="B37" s="292"/>
      <c r="C37" s="293"/>
      <c r="D37" s="204" t="s">
        <v>234</v>
      </c>
      <c r="E37" s="201">
        <f>ROUND(1/(E32/E29+E33/F29+E34/G29),0)</f>
        <v>1682</v>
      </c>
      <c r="F37" s="199">
        <f>ROUND(1/(F32/E29+F33/F29+F34/G29),0)</f>
        <v>1759</v>
      </c>
      <c r="G37" s="202">
        <f>ROUND(1/(G32/E29+G33/F29+G34/G29),0)</f>
        <v>1472</v>
      </c>
      <c r="H37" s="201">
        <f>ROUND(1/(H32/H29+H33/I29+H34/J29),0)</f>
        <v>1689</v>
      </c>
      <c r="I37" s="361">
        <f>ROUND(1/(I32/H29+I33/I29+I34/J29),0)</f>
        <v>1676</v>
      </c>
      <c r="J37" s="362"/>
      <c r="K37" s="201">
        <f>ROUND(1/(K32/K29+K33/L29+K34/M29),0)</f>
        <v>1816</v>
      </c>
      <c r="L37" s="361">
        <f>ROUND(1/(L32/K29+L33/L29+L34/M29),0)</f>
        <v>1687</v>
      </c>
      <c r="M37" s="362"/>
      <c r="N37" s="207">
        <f>ROUND(1/(N32/N29+N33/O29+N34/P29),0)</f>
        <v>1813</v>
      </c>
      <c r="O37" s="361">
        <f>ROUND(1/(O32/N29+O33/O29+O34/P29),0)</f>
        <v>1619</v>
      </c>
      <c r="P37" s="292"/>
      <c r="Q37" s="192" t="s">
        <v>284</v>
      </c>
    </row>
    <row r="38" spans="1:17" ht="18">
      <c r="A38" s="326" t="s">
        <v>296</v>
      </c>
      <c r="B38" s="419"/>
      <c r="C38" s="419"/>
      <c r="D38" s="64" t="s">
        <v>297</v>
      </c>
      <c r="E38" s="210">
        <f>ROUND(E37*E22,0)</f>
        <v>353</v>
      </c>
      <c r="F38" s="69">
        <f>ROUND(F37*E22,0)</f>
        <v>369</v>
      </c>
      <c r="G38" s="206">
        <f>ROUND(G37*E22,0)</f>
        <v>309</v>
      </c>
      <c r="H38" s="210">
        <f>ROUND(H37*H22,0)</f>
        <v>304</v>
      </c>
      <c r="I38" s="260">
        <f>ROUND(I37*H22,0)</f>
        <v>302</v>
      </c>
      <c r="J38" s="271"/>
      <c r="K38" s="210">
        <f>ROUND(K37*K22,0)</f>
        <v>291</v>
      </c>
      <c r="L38" s="260">
        <f>ROUND(L37*L22,0)</f>
        <v>270</v>
      </c>
      <c r="M38" s="271"/>
      <c r="N38" s="210">
        <f>ROUND(N37*N22,0)</f>
        <v>290</v>
      </c>
      <c r="O38" s="260">
        <f>ROUND(O37*O22,0)</f>
        <v>259</v>
      </c>
      <c r="P38" s="271"/>
      <c r="Q38" s="195" t="s">
        <v>284</v>
      </c>
    </row>
    <row r="39" spans="1:17" ht="18.75" thickBot="1">
      <c r="A39" s="378" t="s">
        <v>122</v>
      </c>
      <c r="B39" s="379"/>
      <c r="C39" s="380"/>
      <c r="D39" s="205" t="s">
        <v>235</v>
      </c>
      <c r="E39" s="383">
        <f>SUM(E37:G37)</f>
        <v>4913</v>
      </c>
      <c r="F39" s="379"/>
      <c r="G39" s="382"/>
      <c r="H39" s="383">
        <f>H37+I37</f>
        <v>3365</v>
      </c>
      <c r="I39" s="379"/>
      <c r="J39" s="382"/>
      <c r="K39" s="203">
        <f>K37</f>
        <v>1816</v>
      </c>
      <c r="L39" s="381">
        <f>L37</f>
        <v>1687</v>
      </c>
      <c r="M39" s="382"/>
      <c r="N39" s="208">
        <f>N37</f>
        <v>1813</v>
      </c>
      <c r="O39" s="381">
        <f>O37</f>
        <v>1619</v>
      </c>
      <c r="P39" s="379"/>
      <c r="Q39" s="209" t="s">
        <v>284</v>
      </c>
    </row>
    <row r="40" spans="1:17" ht="18">
      <c r="A40" s="332" t="s">
        <v>123</v>
      </c>
      <c r="B40" s="333"/>
      <c r="C40" s="333"/>
      <c r="D40" s="45" t="s">
        <v>236</v>
      </c>
      <c r="E40" s="353">
        <f>ROUND(E39*E22,0)</f>
        <v>1032</v>
      </c>
      <c r="F40" s="354"/>
      <c r="G40" s="355"/>
      <c r="H40" s="353">
        <f>ROUND(H39*H22,0)</f>
        <v>606</v>
      </c>
      <c r="I40" s="354"/>
      <c r="J40" s="355"/>
      <c r="K40" s="88">
        <f>ROUND(K39*K22,0)</f>
        <v>291</v>
      </c>
      <c r="L40" s="384">
        <f>ROUND(L39*L22,0)</f>
        <v>270</v>
      </c>
      <c r="M40" s="355"/>
      <c r="N40" s="88">
        <f>ROUND(N39*N22,0)</f>
        <v>290</v>
      </c>
      <c r="O40" s="384">
        <f>ROUND(O39*O22,0)</f>
        <v>259</v>
      </c>
      <c r="P40" s="354"/>
      <c r="Q40" s="193" t="s">
        <v>284</v>
      </c>
    </row>
    <row r="41" spans="1:17" ht="18.75" thickBot="1">
      <c r="A41" s="264" t="s">
        <v>166</v>
      </c>
      <c r="B41" s="290"/>
      <c r="C41" s="385"/>
      <c r="D41" s="44" t="s">
        <v>237</v>
      </c>
      <c r="E41" s="386">
        <f>ROUND(SUM(E35:G35)/E40,2)</f>
        <v>0.55000000000000004</v>
      </c>
      <c r="F41" s="263"/>
      <c r="G41" s="327"/>
      <c r="H41" s="386">
        <f>ROUND(SUM(H35:J35)/H40,2)</f>
        <v>0.5</v>
      </c>
      <c r="I41" s="263"/>
      <c r="J41" s="327"/>
      <c r="K41" s="158">
        <f>ROUND(K35/K40,2)</f>
        <v>0.44</v>
      </c>
      <c r="L41" s="262">
        <f>ROUND(L35/L40,2)</f>
        <v>0.24</v>
      </c>
      <c r="M41" s="327"/>
      <c r="N41" s="158">
        <f>ROUND(N35/N40,2)</f>
        <v>0.17</v>
      </c>
      <c r="O41" s="262">
        <f>ROUND(O35/O40,2)</f>
        <v>0.42</v>
      </c>
      <c r="P41" s="263"/>
      <c r="Q41" s="175" t="s">
        <v>286</v>
      </c>
    </row>
    <row r="42" spans="1:17" ht="18">
      <c r="A42" s="279" t="s">
        <v>88</v>
      </c>
      <c r="B42" s="280"/>
      <c r="C42" s="280"/>
      <c r="D42" s="89" t="s">
        <v>220</v>
      </c>
      <c r="E42" s="276">
        <f>E40</f>
        <v>1032</v>
      </c>
      <c r="F42" s="277"/>
      <c r="G42" s="278"/>
      <c r="H42" s="276">
        <f>H40</f>
        <v>606</v>
      </c>
      <c r="I42" s="277"/>
      <c r="J42" s="278"/>
      <c r="K42" s="276">
        <f>ROUND(MIN(K40/K36,L40/L36),0)</f>
        <v>435</v>
      </c>
      <c r="L42" s="277"/>
      <c r="M42" s="278"/>
      <c r="N42" s="276">
        <f>ROUND(MIN(N40/N36,O40/O36),0)</f>
        <v>374</v>
      </c>
      <c r="O42" s="277"/>
      <c r="P42" s="277"/>
      <c r="Q42" s="173" t="s">
        <v>284</v>
      </c>
    </row>
    <row r="43" spans="1:17" ht="18.75" thickBot="1">
      <c r="A43" s="330" t="s">
        <v>124</v>
      </c>
      <c r="B43" s="331"/>
      <c r="C43" s="331"/>
      <c r="D43" s="39" t="s">
        <v>238</v>
      </c>
      <c r="E43" s="386">
        <f>ROUND(E15/E42,2)</f>
        <v>0.55000000000000004</v>
      </c>
      <c r="F43" s="263"/>
      <c r="G43" s="327"/>
      <c r="H43" s="386">
        <f>ROUND(H15/H42,2)</f>
        <v>0.5</v>
      </c>
      <c r="I43" s="263"/>
      <c r="J43" s="327"/>
      <c r="K43" s="386">
        <f>ROUND(K15/K42,2)</f>
        <v>0.44</v>
      </c>
      <c r="L43" s="263"/>
      <c r="M43" s="327"/>
      <c r="N43" s="386">
        <f>ROUND(N15/N42,2)</f>
        <v>0.42</v>
      </c>
      <c r="O43" s="263"/>
      <c r="P43" s="263"/>
      <c r="Q43" s="175" t="s">
        <v>286</v>
      </c>
    </row>
    <row r="44" spans="1:17" ht="18">
      <c r="A44" s="281" t="s">
        <v>125</v>
      </c>
      <c r="B44" s="282"/>
      <c r="C44" s="282"/>
      <c r="D44" s="40" t="s">
        <v>239</v>
      </c>
      <c r="E44" s="402">
        <f>ROUND(SUM(E35:G35)/SUM($E$15:$P$15),2)</f>
        <v>0.47</v>
      </c>
      <c r="F44" s="403"/>
      <c r="G44" s="404"/>
      <c r="H44" s="402">
        <f>ROUND(SUM(H35:J35)/SUM($E$15:$P$15),2)</f>
        <v>0.25</v>
      </c>
      <c r="I44" s="403"/>
      <c r="J44" s="404"/>
      <c r="K44" s="159">
        <f>ROUND(K35/SUM($E$15:$P$15),2)</f>
        <v>0.11</v>
      </c>
      <c r="L44" s="295">
        <f>ROUND(L35/SUM($E$15:$P$15),2)</f>
        <v>0.05</v>
      </c>
      <c r="M44" s="404"/>
      <c r="N44" s="159">
        <f>ROUND(N35/SUM($E$15:$P$15),2)</f>
        <v>0.04</v>
      </c>
      <c r="O44" s="295">
        <f>ROUND(O35/SUM($E$15:$P$15),2)</f>
        <v>0.09</v>
      </c>
      <c r="P44" s="403"/>
      <c r="Q44" s="176" t="s">
        <v>286</v>
      </c>
    </row>
    <row r="45" spans="1:17" ht="18">
      <c r="A45" s="279" t="s">
        <v>89</v>
      </c>
      <c r="B45" s="280"/>
      <c r="C45" s="280"/>
      <c r="D45" s="41" t="s">
        <v>223</v>
      </c>
      <c r="E45" s="349">
        <f>ROUND(MIN(E40/E44,H40/H44,K40/K44,L40/L44,N40/N44,O40/O44),0)</f>
        <v>2196</v>
      </c>
      <c r="F45" s="350"/>
      <c r="G45" s="350"/>
      <c r="H45" s="350"/>
      <c r="I45" s="350"/>
      <c r="J45" s="350"/>
      <c r="K45" s="350"/>
      <c r="L45" s="350"/>
      <c r="M45" s="350"/>
      <c r="N45" s="350"/>
      <c r="O45" s="350"/>
      <c r="P45" s="350"/>
      <c r="Q45" s="174" t="s">
        <v>284</v>
      </c>
    </row>
    <row r="46" spans="1:17" ht="18.75" thickBot="1">
      <c r="A46" s="304" t="s">
        <v>126</v>
      </c>
      <c r="B46" s="305"/>
      <c r="C46" s="305"/>
      <c r="D46" s="39" t="s">
        <v>240</v>
      </c>
      <c r="E46" s="351">
        <f>ROUND(SUM(E15:P15)/E45,2)</f>
        <v>0.56000000000000005</v>
      </c>
      <c r="F46" s="352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175" t="s">
        <v>286</v>
      </c>
    </row>
    <row r="47" spans="1:17" ht="15.75" thickBo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</row>
    <row r="48" spans="1:17" ht="15.75" thickBot="1">
      <c r="A48" s="344" t="s">
        <v>127</v>
      </c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256"/>
    </row>
    <row r="49" spans="1:17" ht="15.75" thickBot="1">
      <c r="A49" s="302" t="s">
        <v>52</v>
      </c>
      <c r="B49" s="303"/>
      <c r="C49" s="303"/>
      <c r="D49" s="33" t="s">
        <v>156</v>
      </c>
      <c r="E49" s="313" t="str">
        <f>E8</f>
        <v>GEN. SIKORSKIEGO ZACH.</v>
      </c>
      <c r="F49" s="314"/>
      <c r="G49" s="315"/>
      <c r="H49" s="313" t="str">
        <f t="shared" ref="H49" si="1">H8</f>
        <v>GEN. SIKORSKIEGO WSCH.</v>
      </c>
      <c r="I49" s="314"/>
      <c r="J49" s="315"/>
      <c r="K49" s="313" t="str">
        <f t="shared" ref="K49" si="2">K8</f>
        <v>MONIUSZKI PŁD.</v>
      </c>
      <c r="L49" s="314"/>
      <c r="M49" s="315"/>
      <c r="N49" s="313" t="str">
        <f t="shared" ref="N49" si="3">N8</f>
        <v>MONIUSZKI PŁN.</v>
      </c>
      <c r="O49" s="314"/>
      <c r="P49" s="315"/>
      <c r="Q49" s="197" t="s">
        <v>285</v>
      </c>
    </row>
    <row r="50" spans="1:17" ht="18.75" thickBot="1">
      <c r="A50" s="302" t="s">
        <v>158</v>
      </c>
      <c r="B50" s="303"/>
      <c r="C50" s="303"/>
      <c r="D50" s="122" t="s">
        <v>225</v>
      </c>
      <c r="E50" s="299">
        <v>0.25</v>
      </c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1"/>
      <c r="Q50" s="180" t="s">
        <v>289</v>
      </c>
    </row>
    <row r="51" spans="1:17">
      <c r="A51" s="334" t="s">
        <v>108</v>
      </c>
      <c r="B51" s="335"/>
      <c r="C51" s="335"/>
      <c r="D51" s="121" t="s">
        <v>109</v>
      </c>
      <c r="E51" s="343">
        <f>E19</f>
        <v>56</v>
      </c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193" t="s">
        <v>288</v>
      </c>
    </row>
    <row r="52" spans="1:17" ht="18">
      <c r="A52" s="343" t="s">
        <v>110</v>
      </c>
      <c r="B52" s="338"/>
      <c r="C52" s="339"/>
      <c r="D52" s="11" t="s">
        <v>230</v>
      </c>
      <c r="E52" s="343">
        <f>E21</f>
        <v>12</v>
      </c>
      <c r="F52" s="338"/>
      <c r="G52" s="342"/>
      <c r="H52" s="343">
        <f>H21</f>
        <v>10</v>
      </c>
      <c r="I52" s="389"/>
      <c r="J52" s="390"/>
      <c r="K52" s="143">
        <f>K21</f>
        <v>9</v>
      </c>
      <c r="L52" s="371">
        <f>L21</f>
        <v>9</v>
      </c>
      <c r="M52" s="342"/>
      <c r="N52" s="143">
        <f>N21</f>
        <v>9</v>
      </c>
      <c r="O52" s="371">
        <f>O21</f>
        <v>9</v>
      </c>
      <c r="P52" s="338"/>
      <c r="Q52" s="195" t="s">
        <v>288</v>
      </c>
    </row>
    <row r="53" spans="1:17" ht="15.75" thickBot="1">
      <c r="A53" s="343" t="s">
        <v>118</v>
      </c>
      <c r="B53" s="338"/>
      <c r="C53" s="339"/>
      <c r="D53" s="35" t="s">
        <v>119</v>
      </c>
      <c r="E53" s="343">
        <f>ROUND(E52/$E$19,2)</f>
        <v>0.21</v>
      </c>
      <c r="F53" s="338"/>
      <c r="G53" s="342"/>
      <c r="H53" s="264">
        <f>ROUND(H52/$E$19,2)</f>
        <v>0.18</v>
      </c>
      <c r="I53" s="387"/>
      <c r="J53" s="388"/>
      <c r="K53" s="128">
        <f>ROUND(K52/$E$19,2)</f>
        <v>0.16</v>
      </c>
      <c r="L53" s="288">
        <f>ROUND(L52/$E$19,2)</f>
        <v>0.16</v>
      </c>
      <c r="M53" s="289"/>
      <c r="N53" s="128">
        <f>ROUND(N52/$E$19,2)</f>
        <v>0.16</v>
      </c>
      <c r="O53" s="288">
        <f>ROUND(O52/$E$19,2)</f>
        <v>0.16</v>
      </c>
      <c r="P53" s="290"/>
      <c r="Q53" s="192" t="s">
        <v>286</v>
      </c>
    </row>
    <row r="54" spans="1:17">
      <c r="A54" s="400" t="s">
        <v>129</v>
      </c>
      <c r="B54" s="401"/>
      <c r="C54" s="401"/>
      <c r="D54" s="42"/>
      <c r="E54" s="356" t="s">
        <v>165</v>
      </c>
      <c r="F54" s="357"/>
      <c r="G54" s="360"/>
      <c r="H54" s="356" t="s">
        <v>130</v>
      </c>
      <c r="I54" s="357"/>
      <c r="J54" s="360"/>
      <c r="K54" s="356" t="s">
        <v>130</v>
      </c>
      <c r="L54" s="357"/>
      <c r="M54" s="360"/>
      <c r="N54" s="356" t="s">
        <v>130</v>
      </c>
      <c r="O54" s="357"/>
      <c r="P54" s="357"/>
      <c r="Q54" s="193"/>
    </row>
    <row r="55" spans="1:17" ht="18">
      <c r="A55" s="365" t="s">
        <v>128</v>
      </c>
      <c r="B55" s="366"/>
      <c r="C55" s="366"/>
      <c r="D55" s="43" t="s">
        <v>241</v>
      </c>
      <c r="E55" s="291">
        <v>1.333</v>
      </c>
      <c r="F55" s="292"/>
      <c r="G55" s="362"/>
      <c r="H55" s="291">
        <v>1</v>
      </c>
      <c r="I55" s="292"/>
      <c r="J55" s="362"/>
      <c r="K55" s="291">
        <v>1</v>
      </c>
      <c r="L55" s="292"/>
      <c r="M55" s="362"/>
      <c r="N55" s="291">
        <v>1</v>
      </c>
      <c r="O55" s="292"/>
      <c r="P55" s="292"/>
      <c r="Q55" s="195" t="s">
        <v>286</v>
      </c>
    </row>
    <row r="56" spans="1:17">
      <c r="A56" s="365" t="s">
        <v>170</v>
      </c>
      <c r="B56" s="366"/>
      <c r="C56" s="366"/>
      <c r="D56" s="43" t="s">
        <v>133</v>
      </c>
      <c r="E56" s="291">
        <f>ROUND(E55*E53,2)</f>
        <v>0.28000000000000003</v>
      </c>
      <c r="F56" s="292"/>
      <c r="G56" s="362"/>
      <c r="H56" s="291">
        <f t="shared" ref="H56" si="4">ROUND(H55*H53,2)</f>
        <v>0.18</v>
      </c>
      <c r="I56" s="292"/>
      <c r="J56" s="362"/>
      <c r="K56" s="291">
        <f>ROUND(K55*K53,2)</f>
        <v>0.16</v>
      </c>
      <c r="L56" s="292"/>
      <c r="M56" s="362"/>
      <c r="N56" s="291">
        <f t="shared" ref="N56" si="5">ROUND(N55*N53,2)</f>
        <v>0.16</v>
      </c>
      <c r="O56" s="292"/>
      <c r="P56" s="292"/>
      <c r="Q56" s="195" t="s">
        <v>286</v>
      </c>
    </row>
    <row r="57" spans="1:17" ht="18">
      <c r="A57" s="325" t="s">
        <v>132</v>
      </c>
      <c r="B57" s="326"/>
      <c r="C57" s="326"/>
      <c r="D57" s="38" t="s">
        <v>242</v>
      </c>
      <c r="E57" s="343">
        <v>1</v>
      </c>
      <c r="F57" s="338"/>
      <c r="G57" s="342"/>
      <c r="H57" s="343">
        <v>1</v>
      </c>
      <c r="I57" s="338"/>
      <c r="J57" s="342"/>
      <c r="K57" s="343">
        <v>0.93</v>
      </c>
      <c r="L57" s="338"/>
      <c r="M57" s="342"/>
      <c r="N57" s="343">
        <v>1</v>
      </c>
      <c r="O57" s="338"/>
      <c r="P57" s="338"/>
      <c r="Q57" s="195" t="s">
        <v>286</v>
      </c>
    </row>
    <row r="58" spans="1:17" ht="18.75" thickBot="1">
      <c r="A58" s="253" t="s">
        <v>131</v>
      </c>
      <c r="B58" s="254"/>
      <c r="C58" s="254"/>
      <c r="D58" s="39" t="s">
        <v>213</v>
      </c>
      <c r="E58" s="264">
        <f>ROUND(((1-E56)*E57)/(1-E53),2)</f>
        <v>0.91</v>
      </c>
      <c r="F58" s="290"/>
      <c r="G58" s="289"/>
      <c r="H58" s="264">
        <f t="shared" ref="H58" si="6">ROUND(((1-H56)*H57)/(1-H53),2)</f>
        <v>1</v>
      </c>
      <c r="I58" s="290"/>
      <c r="J58" s="289"/>
      <c r="K58" s="264">
        <f t="shared" ref="K58" si="7">ROUND(((1-K56)*K57)/(1-K53),2)</f>
        <v>0.93</v>
      </c>
      <c r="L58" s="290"/>
      <c r="M58" s="289"/>
      <c r="N58" s="264">
        <f t="shared" ref="N58" si="8">ROUND(((1-N56)*N57)/(1-N53),2)</f>
        <v>1</v>
      </c>
      <c r="O58" s="290"/>
      <c r="P58" s="290"/>
      <c r="Q58" s="194" t="s">
        <v>286</v>
      </c>
    </row>
    <row r="59" spans="1:17" ht="18.75" thickBot="1">
      <c r="A59" s="264" t="s">
        <v>166</v>
      </c>
      <c r="B59" s="290"/>
      <c r="C59" s="385"/>
      <c r="D59" s="44" t="s">
        <v>237</v>
      </c>
      <c r="E59" s="386">
        <f>E41</f>
        <v>0.55000000000000004</v>
      </c>
      <c r="F59" s="263"/>
      <c r="G59" s="327"/>
      <c r="H59" s="386">
        <f>H41</f>
        <v>0.5</v>
      </c>
      <c r="I59" s="263"/>
      <c r="J59" s="327"/>
      <c r="K59" s="158">
        <f>K41</f>
        <v>0.44</v>
      </c>
      <c r="L59" s="262">
        <f>L41</f>
        <v>0.24</v>
      </c>
      <c r="M59" s="327"/>
      <c r="N59" s="158">
        <f>N41</f>
        <v>0.17</v>
      </c>
      <c r="O59" s="262">
        <f>O41</f>
        <v>0.42</v>
      </c>
      <c r="P59" s="263"/>
      <c r="Q59" s="190" t="s">
        <v>286</v>
      </c>
    </row>
    <row r="60" spans="1:17" ht="18">
      <c r="A60" s="281" t="s">
        <v>293</v>
      </c>
      <c r="B60" s="282"/>
      <c r="C60" s="282"/>
      <c r="D60" s="40" t="s">
        <v>243</v>
      </c>
      <c r="E60" s="395" t="s">
        <v>171</v>
      </c>
      <c r="F60" s="396"/>
      <c r="G60" s="396"/>
      <c r="H60" s="396"/>
      <c r="I60" s="396"/>
      <c r="J60" s="396"/>
      <c r="K60" s="396"/>
      <c r="L60" s="396"/>
      <c r="M60" s="396"/>
      <c r="N60" s="396"/>
      <c r="O60" s="396"/>
      <c r="P60" s="396"/>
      <c r="Q60" s="176"/>
    </row>
    <row r="61" spans="1:17" ht="18">
      <c r="A61" s="325" t="s">
        <v>136</v>
      </c>
      <c r="B61" s="326"/>
      <c r="C61" s="326"/>
      <c r="D61" s="38" t="s">
        <v>244</v>
      </c>
      <c r="E61" s="343" t="s">
        <v>137</v>
      </c>
      <c r="F61" s="338"/>
      <c r="G61" s="338"/>
      <c r="H61" s="338"/>
      <c r="I61" s="338"/>
      <c r="J61" s="338"/>
      <c r="K61" s="338"/>
      <c r="L61" s="338"/>
      <c r="M61" s="338"/>
      <c r="N61" s="338"/>
      <c r="O61" s="338"/>
      <c r="P61" s="338"/>
      <c r="Q61" s="174"/>
    </row>
    <row r="62" spans="1:17" ht="18">
      <c r="A62" s="325" t="s">
        <v>134</v>
      </c>
      <c r="B62" s="326"/>
      <c r="C62" s="326"/>
      <c r="D62" s="38" t="s">
        <v>245</v>
      </c>
      <c r="E62" s="343">
        <f>ROUND(0.5*$E$51*(((1-E53)^2)/(1-(MIN(1,E59)*E53))),1)</f>
        <v>19.8</v>
      </c>
      <c r="F62" s="338"/>
      <c r="G62" s="342"/>
      <c r="H62" s="343">
        <f>ROUND(0.5*$E$51*(((1-H53)^2)/(1-(MIN(1,H59)*H53))),1)</f>
        <v>20.7</v>
      </c>
      <c r="I62" s="389"/>
      <c r="J62" s="390"/>
      <c r="K62" s="143">
        <f>ROUND(0.5*$E$51*(((1-K53)^2)/(1-(MIN(1,K59)*K53))),1)</f>
        <v>21.3</v>
      </c>
      <c r="L62" s="371">
        <f>ROUND(0.5*$E$51*(((1-L53)^2)/(1-(MIN(1,L59)*L53))),1)</f>
        <v>20.5</v>
      </c>
      <c r="M62" s="342"/>
      <c r="N62" s="143">
        <f>ROUND(0.5*$E$51*(((1-N53)^2)/(1-(MIN(1,N59)*N53))),1)</f>
        <v>20.3</v>
      </c>
      <c r="O62" s="371">
        <f>ROUND(0.5*$E$51*(((1-O53)^2)/(1-(MIN(1,O59)*O53))),1)</f>
        <v>21.2</v>
      </c>
      <c r="P62" s="338"/>
      <c r="Q62" s="174" t="s">
        <v>288</v>
      </c>
    </row>
    <row r="63" spans="1:17" ht="18.75" thickBot="1">
      <c r="A63" s="365" t="s">
        <v>135</v>
      </c>
      <c r="B63" s="366"/>
      <c r="C63" s="366"/>
      <c r="D63" s="43" t="s">
        <v>246</v>
      </c>
      <c r="E63" s="291">
        <f>ROUND(900*$E$50*((E59-1)+SQRT((E59-1)^2+(7*0.5*1*(E59^2))/(E40*$E$50))),1)</f>
        <v>1</v>
      </c>
      <c r="F63" s="292"/>
      <c r="G63" s="362"/>
      <c r="H63" s="291">
        <f>ROUND(900*$E$50*((H59-1)+SQRT((H59-1)^2+(7*0.5*1*(H59^2))/(H40*$E$50))),1)</f>
        <v>1.3</v>
      </c>
      <c r="I63" s="376"/>
      <c r="J63" s="377"/>
      <c r="K63" s="144">
        <f>ROUND(900*$E$50*((K59-1)+SQRT((K59-1)^2+(7*0.5*1*(K59^2))/(K40*$E$50))),1)</f>
        <v>1.9</v>
      </c>
      <c r="L63" s="372">
        <f>ROUND(900*$E$50*((L59-1)+SQRT((L59-1)^2+(7*0.5*1*(L59^2))/(L40*$E$50))),1)</f>
        <v>0.4</v>
      </c>
      <c r="M63" s="373"/>
      <c r="N63" s="144">
        <f>ROUND(900*$E$50*((N59-1)+SQRT((N59-1)^2+(7*0.5*1*(N59^2))/(N40*$E$50))),1)</f>
        <v>0.2</v>
      </c>
      <c r="O63" s="361">
        <f>ROUND(900*$E$50*((O59-1)+SQRT((O59-1)^2+(7*0.5*1*(O59^2))/(O40*$E$50))),1)</f>
        <v>1.8</v>
      </c>
      <c r="P63" s="292"/>
      <c r="Q63" s="179" t="s">
        <v>288</v>
      </c>
    </row>
    <row r="64" spans="1:17">
      <c r="A64" s="369" t="s">
        <v>173</v>
      </c>
      <c r="B64" s="370"/>
      <c r="C64" s="370"/>
      <c r="D64" s="126" t="s">
        <v>95</v>
      </c>
      <c r="E64" s="374">
        <f>ROUND(E62*E58+E63,1)</f>
        <v>19</v>
      </c>
      <c r="F64" s="298"/>
      <c r="G64" s="297"/>
      <c r="H64" s="374">
        <f>ROUND(H62*H58+H63,1)</f>
        <v>22</v>
      </c>
      <c r="I64" s="298"/>
      <c r="J64" s="297"/>
      <c r="K64" s="161">
        <f>ROUND(K62*K58+K63,1)</f>
        <v>21.7</v>
      </c>
      <c r="L64" s="296">
        <f>ROUND(L62*K58+L63,1)</f>
        <v>19.5</v>
      </c>
      <c r="M64" s="297"/>
      <c r="N64" s="161">
        <f>ROUND(N62*N58+N63,1)</f>
        <v>20.5</v>
      </c>
      <c r="O64" s="296">
        <f>ROUND(O62*N58+O63,1)</f>
        <v>23</v>
      </c>
      <c r="P64" s="298"/>
      <c r="Q64" s="173" t="s">
        <v>288</v>
      </c>
    </row>
    <row r="65" spans="1:17" ht="15.75" thickBot="1">
      <c r="A65" s="253" t="s">
        <v>174</v>
      </c>
      <c r="B65" s="254"/>
      <c r="C65" s="254"/>
      <c r="D65" s="39" t="s">
        <v>157</v>
      </c>
      <c r="E65" s="264" t="str">
        <f>IF(E64&lt;=20,"PSR I",IF(E64&lt;=45,"PSR II", IF(E64&lt;=80,"PSR III","PSR IV")))</f>
        <v>PSR I</v>
      </c>
      <c r="F65" s="290"/>
      <c r="G65" s="289"/>
      <c r="H65" s="264" t="str">
        <f>IF(H64&lt;=20,"PSR I",IF(H64&lt;=45,"PSR II", IF(H64&lt;=80,"PSR III","PSR IV")))</f>
        <v>PSR II</v>
      </c>
      <c r="I65" s="290"/>
      <c r="J65" s="289"/>
      <c r="K65" s="128" t="str">
        <f>IF(K64&lt;=20,"PSR I",IF(K64&lt;=45,"PSR II", IF(K64&lt;=80,"PSR III","PSR IV")))</f>
        <v>PSR II</v>
      </c>
      <c r="L65" s="288" t="str">
        <f>IF(L64&lt;=20,"PSR I",IF(L64&lt;=45,"PSR II", IF(L64&lt;=80,"PSR III","PSR IV")))</f>
        <v>PSR I</v>
      </c>
      <c r="M65" s="289"/>
      <c r="N65" s="128" t="str">
        <f>IF(N64&lt;=20,"PSR I",IF(N64&lt;=45,"PSR II", IF(N64&lt;=80,"PSR III","PSR IV")))</f>
        <v>PSR II</v>
      </c>
      <c r="O65" s="288" t="str">
        <f>IF(O64&lt;=20,"PSR I",IF(O64&lt;=45,"PSR II", IF(O64&lt;=80,"PSR III","PSR IV")))</f>
        <v>PSR II</v>
      </c>
      <c r="P65" s="290"/>
      <c r="Q65" s="175"/>
    </row>
    <row r="66" spans="1:17" ht="18">
      <c r="A66" s="279" t="s">
        <v>138</v>
      </c>
      <c r="B66" s="280"/>
      <c r="C66" s="280"/>
      <c r="D66" s="109" t="s">
        <v>227</v>
      </c>
      <c r="E66" s="397">
        <f>ROUND(E64,1)</f>
        <v>19</v>
      </c>
      <c r="F66" s="398"/>
      <c r="G66" s="399"/>
      <c r="H66" s="397">
        <f>ROUND(H64,1)</f>
        <v>22</v>
      </c>
      <c r="I66" s="398"/>
      <c r="J66" s="399"/>
      <c r="K66" s="397">
        <f>ROUND((K64*K35+L64*L35)/(K35+L35),1)</f>
        <v>21</v>
      </c>
      <c r="L66" s="398"/>
      <c r="M66" s="399"/>
      <c r="N66" s="397">
        <f>ROUND((N64*N35+O64*O35)/(N35+O35),1)</f>
        <v>22.2</v>
      </c>
      <c r="O66" s="398"/>
      <c r="P66" s="398"/>
      <c r="Q66" s="173" t="s">
        <v>288</v>
      </c>
    </row>
    <row r="67" spans="1:17" ht="15.75" thickBot="1">
      <c r="A67" s="253" t="s">
        <v>101</v>
      </c>
      <c r="B67" s="254"/>
      <c r="C67" s="254"/>
      <c r="D67" s="39" t="s">
        <v>157</v>
      </c>
      <c r="E67" s="264" t="str">
        <f>IF(E66&lt;=20,"PSR I",IF(E66&lt;=45,"PSR II", IF(E66&lt;=80,"PSR III","PSR IV")))</f>
        <v>PSR I</v>
      </c>
      <c r="F67" s="290"/>
      <c r="G67" s="289"/>
      <c r="H67" s="264" t="str">
        <f>IF(H66&lt;=20,"PSR I",IF(H66&lt;=45,"PSR II", IF(H66&lt;=80,"PSR III","PSR IV")))</f>
        <v>PSR II</v>
      </c>
      <c r="I67" s="290"/>
      <c r="J67" s="289"/>
      <c r="K67" s="264" t="str">
        <f>IF(K66&lt;=20,"PSR I",IF(K66&lt;=45,"PSR II", IF(K66&lt;=80,"PSR III","PSR IV")))</f>
        <v>PSR II</v>
      </c>
      <c r="L67" s="290"/>
      <c r="M67" s="289"/>
      <c r="N67" s="264" t="str">
        <f>IF(N66&lt;=20,"PSR I",IF(N66&lt;=45,"PSR II", IF(N66&lt;=80,"PSR III","PSR IV")))</f>
        <v>PSR II</v>
      </c>
      <c r="O67" s="290"/>
      <c r="P67" s="290"/>
      <c r="Q67" s="175"/>
    </row>
    <row r="68" spans="1:17" ht="18">
      <c r="A68" s="332" t="s">
        <v>139</v>
      </c>
      <c r="B68" s="333"/>
      <c r="C68" s="333"/>
      <c r="D68" s="84" t="s">
        <v>228</v>
      </c>
      <c r="E68" s="392">
        <f>ROUND((E66*E15+H66*H15+K66*K15+N66*N15)/SUM(E15:P15),1)</f>
        <v>20.5</v>
      </c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176" t="s">
        <v>288</v>
      </c>
    </row>
    <row r="69" spans="1:17" ht="15.75" thickBot="1">
      <c r="A69" s="304" t="s">
        <v>140</v>
      </c>
      <c r="B69" s="305"/>
      <c r="C69" s="305"/>
      <c r="D69" s="34" t="s">
        <v>157</v>
      </c>
      <c r="E69" s="267" t="str">
        <f>IF(E68&lt;=20,"PSR I",IF(E68&lt;=45,"PSR II", IF(E68&lt;=80,"PSR III","PSR IV")))</f>
        <v>PSR II</v>
      </c>
      <c r="F69" s="393"/>
      <c r="G69" s="393"/>
      <c r="H69" s="393"/>
      <c r="I69" s="393"/>
      <c r="J69" s="393"/>
      <c r="K69" s="393"/>
      <c r="L69" s="393"/>
      <c r="M69" s="393"/>
      <c r="N69" s="393"/>
      <c r="O69" s="393"/>
      <c r="P69" s="394"/>
      <c r="Q69" s="175"/>
    </row>
    <row r="70" spans="1:17" ht="15.75" thickBot="1"/>
    <row r="71" spans="1:17" ht="15.75" thickBot="1">
      <c r="A71" s="344" t="s">
        <v>291</v>
      </c>
      <c r="B71" s="416"/>
      <c r="C71" s="416"/>
      <c r="D71" s="416"/>
      <c r="E71" s="416"/>
      <c r="F71" s="416"/>
      <c r="G71" s="416"/>
      <c r="H71" s="416"/>
      <c r="I71" s="416"/>
      <c r="J71" s="416"/>
      <c r="K71" s="416"/>
      <c r="L71" s="416"/>
      <c r="M71" s="416"/>
      <c r="N71" s="416"/>
      <c r="O71" s="416"/>
      <c r="P71" s="416"/>
      <c r="Q71" s="417"/>
    </row>
    <row r="72" spans="1:17" ht="15.75" thickBot="1">
      <c r="A72" s="299" t="s">
        <v>52</v>
      </c>
      <c r="B72" s="416"/>
      <c r="C72" s="418"/>
      <c r="D72" s="33" t="s">
        <v>156</v>
      </c>
      <c r="E72" s="345" t="str">
        <f>E8</f>
        <v>GEN. SIKORSKIEGO ZACH.</v>
      </c>
      <c r="F72" s="416"/>
      <c r="G72" s="417"/>
      <c r="H72" s="344" t="str">
        <f t="shared" ref="H72" si="9">H8</f>
        <v>GEN. SIKORSKIEGO WSCH.</v>
      </c>
      <c r="I72" s="416"/>
      <c r="J72" s="417"/>
      <c r="K72" s="344" t="str">
        <f t="shared" ref="K72" si="10">K8</f>
        <v>MONIUSZKI PŁD.</v>
      </c>
      <c r="L72" s="416"/>
      <c r="M72" s="417"/>
      <c r="N72" s="344" t="str">
        <f t="shared" ref="N72" si="11">N8</f>
        <v>MONIUSZKI PŁN.</v>
      </c>
      <c r="O72" s="416"/>
      <c r="P72" s="417"/>
      <c r="Q72" s="346" t="s">
        <v>285</v>
      </c>
    </row>
    <row r="73" spans="1:17" ht="15.75" thickBot="1">
      <c r="A73" s="356" t="s">
        <v>147</v>
      </c>
      <c r="B73" s="408"/>
      <c r="C73" s="409"/>
      <c r="D73" s="247" t="s">
        <v>154</v>
      </c>
      <c r="E73" s="164" t="s">
        <v>146</v>
      </c>
      <c r="F73" s="215" t="s">
        <v>53</v>
      </c>
      <c r="G73" s="216" t="s">
        <v>55</v>
      </c>
      <c r="H73" s="164" t="s">
        <v>148</v>
      </c>
      <c r="I73" s="426" t="s">
        <v>149</v>
      </c>
      <c r="J73" s="427"/>
      <c r="K73" s="164" t="s">
        <v>65</v>
      </c>
      <c r="L73" s="426" t="s">
        <v>150</v>
      </c>
      <c r="M73" s="427"/>
      <c r="N73" s="164" t="s">
        <v>67</v>
      </c>
      <c r="O73" s="426" t="s">
        <v>151</v>
      </c>
      <c r="P73" s="427"/>
      <c r="Q73" s="415"/>
    </row>
    <row r="74" spans="1:17" ht="18">
      <c r="A74" s="281" t="s">
        <v>300</v>
      </c>
      <c r="B74" s="282"/>
      <c r="C74" s="282"/>
      <c r="D74" s="10" t="s">
        <v>301</v>
      </c>
      <c r="E74" s="245">
        <f>ROUND(E32*$E$14+E33*$F$14+E34*$G$14,3)</f>
        <v>0.08</v>
      </c>
      <c r="F74" s="217">
        <f>ROUND(F32*$E$14+F33*$F$14+F34*$G$14,3)</f>
        <v>0.08</v>
      </c>
      <c r="G74" s="227">
        <f>ROUND(G32*$E$14+G33*$F$14+G34*$G$14,3)</f>
        <v>5.7000000000000002E-2</v>
      </c>
      <c r="H74" s="228">
        <f>ROUND(H32*$H$14+H33*$I$14+H34*$J$14,3)</f>
        <v>8.4000000000000005E-2</v>
      </c>
      <c r="I74" s="460">
        <f>ROUND(I32*$H$14+I33*$I$14+I34*$J$14,3)</f>
        <v>7.5999999999999998E-2</v>
      </c>
      <c r="J74" s="461"/>
      <c r="K74" s="228">
        <f>ROUND(K32*$K$14+K33*$L$14+K34*$M$14,3)</f>
        <v>5.7000000000000002E-2</v>
      </c>
      <c r="L74" s="445">
        <f>ROUND(L32*$K$14+L33*$L$14+L34*$M$14,3)</f>
        <v>8.5000000000000006E-2</v>
      </c>
      <c r="M74" s="446"/>
      <c r="N74" s="228">
        <f>ROUND(N32*$N$14+N33*$O$14+N34*$P$14,3)</f>
        <v>4.8000000000000001E-2</v>
      </c>
      <c r="O74" s="445">
        <f>ROUND(O32*$N$14+O33*$O$14+O34*$P$14,3)</f>
        <v>6.4000000000000001E-2</v>
      </c>
      <c r="P74" s="446"/>
      <c r="Q74" s="173" t="s">
        <v>286</v>
      </c>
    </row>
    <row r="75" spans="1:17" ht="18">
      <c r="A75" s="410" t="s">
        <v>306</v>
      </c>
      <c r="B75" s="411"/>
      <c r="C75" s="411"/>
      <c r="D75" s="248" t="s">
        <v>308</v>
      </c>
      <c r="E75" s="412">
        <v>6.2</v>
      </c>
      <c r="F75" s="413"/>
      <c r="G75" s="413"/>
      <c r="H75" s="413"/>
      <c r="I75" s="413"/>
      <c r="J75" s="413"/>
      <c r="K75" s="413"/>
      <c r="L75" s="413"/>
      <c r="M75" s="413"/>
      <c r="N75" s="413"/>
      <c r="O75" s="413"/>
      <c r="P75" s="414"/>
      <c r="Q75" s="174" t="s">
        <v>287</v>
      </c>
    </row>
    <row r="76" spans="1:17" ht="18">
      <c r="A76" s="325" t="s">
        <v>305</v>
      </c>
      <c r="B76" s="411"/>
      <c r="C76" s="411"/>
      <c r="D76" s="248" t="s">
        <v>317</v>
      </c>
      <c r="E76" s="412">
        <v>13</v>
      </c>
      <c r="F76" s="413"/>
      <c r="G76" s="413"/>
      <c r="H76" s="413"/>
      <c r="I76" s="413"/>
      <c r="J76" s="413"/>
      <c r="K76" s="413"/>
      <c r="L76" s="413"/>
      <c r="M76" s="413"/>
      <c r="N76" s="413"/>
      <c r="O76" s="413"/>
      <c r="P76" s="414"/>
      <c r="Q76" s="174" t="s">
        <v>287</v>
      </c>
    </row>
    <row r="77" spans="1:17" ht="18.75" thickBot="1">
      <c r="A77" s="253" t="s">
        <v>314</v>
      </c>
      <c r="B77" s="393"/>
      <c r="C77" s="393"/>
      <c r="D77" s="34" t="s">
        <v>318</v>
      </c>
      <c r="E77" s="246">
        <f>ROUND(E74*$E$76+(1-E74)*$E$75,1)</f>
        <v>6.7</v>
      </c>
      <c r="F77" s="219">
        <f>ROUND(F74*$E$76+(1-F74)*$E$75,1)</f>
        <v>6.7</v>
      </c>
      <c r="G77" s="229">
        <f>ROUND(G74*$E$76+(1-G74)*$E$75,1)</f>
        <v>6.6</v>
      </c>
      <c r="H77" s="230">
        <f>ROUND(H74*$E$76+(1-H74)*$E$75,1)</f>
        <v>6.8</v>
      </c>
      <c r="I77" s="447">
        <f>ROUND(I74*$E$76+(1-I74)*$E$75,1)</f>
        <v>6.7</v>
      </c>
      <c r="J77" s="448"/>
      <c r="K77" s="230">
        <f>ROUND(K74*$E$76+(1-K74)*$E$75,1)</f>
        <v>6.6</v>
      </c>
      <c r="L77" s="447">
        <f>ROUND(L74*$E$76+(1-L74)*$E$75,1)</f>
        <v>6.8</v>
      </c>
      <c r="M77" s="448"/>
      <c r="N77" s="230">
        <f>ROUND(N74*$E$76+(1-N74)*$E$75,1)</f>
        <v>6.5</v>
      </c>
      <c r="O77" s="447">
        <f>ROUND(O74*$E$76+(1-O74)*$E$75,1)</f>
        <v>6.6</v>
      </c>
      <c r="P77" s="448"/>
      <c r="Q77" s="175" t="s">
        <v>287</v>
      </c>
    </row>
    <row r="78" spans="1:17" ht="18">
      <c r="A78" s="281" t="s">
        <v>158</v>
      </c>
      <c r="B78" s="430"/>
      <c r="C78" s="430"/>
      <c r="D78" s="40" t="s">
        <v>225</v>
      </c>
      <c r="E78" s="431">
        <v>0.25</v>
      </c>
      <c r="F78" s="430"/>
      <c r="G78" s="430"/>
      <c r="H78" s="430"/>
      <c r="I78" s="430"/>
      <c r="J78" s="430"/>
      <c r="K78" s="430"/>
      <c r="L78" s="430"/>
      <c r="M78" s="430"/>
      <c r="N78" s="430"/>
      <c r="O78" s="430"/>
      <c r="P78" s="432"/>
      <c r="Q78" s="193" t="s">
        <v>289</v>
      </c>
    </row>
    <row r="79" spans="1:17" ht="18">
      <c r="A79" s="325" t="s">
        <v>152</v>
      </c>
      <c r="B79" s="419"/>
      <c r="C79" s="419"/>
      <c r="D79" s="11" t="s">
        <v>216</v>
      </c>
      <c r="E79" s="206">
        <f>E35</f>
        <v>211</v>
      </c>
      <c r="F79" s="69">
        <f>F35</f>
        <v>211</v>
      </c>
      <c r="G79" s="70">
        <f>G35</f>
        <v>149</v>
      </c>
      <c r="H79" s="206">
        <f>H35</f>
        <v>151.5</v>
      </c>
      <c r="I79" s="428">
        <f>I35</f>
        <v>151.5</v>
      </c>
      <c r="J79" s="429"/>
      <c r="K79" s="206">
        <f>K35</f>
        <v>129</v>
      </c>
      <c r="L79" s="428">
        <f>L35</f>
        <v>64</v>
      </c>
      <c r="M79" s="429"/>
      <c r="N79" s="206">
        <f>N35</f>
        <v>48</v>
      </c>
      <c r="O79" s="428">
        <f>O35</f>
        <v>108</v>
      </c>
      <c r="P79" s="424"/>
      <c r="Q79" s="195" t="s">
        <v>284</v>
      </c>
    </row>
    <row r="80" spans="1:17" ht="18">
      <c r="A80" s="325" t="s">
        <v>296</v>
      </c>
      <c r="B80" s="419"/>
      <c r="C80" s="419"/>
      <c r="D80" s="11" t="s">
        <v>297</v>
      </c>
      <c r="E80" s="206">
        <f>E38</f>
        <v>353</v>
      </c>
      <c r="F80" s="69">
        <f t="shared" ref="F80:H80" si="12">F38</f>
        <v>369</v>
      </c>
      <c r="G80" s="70">
        <f t="shared" si="12"/>
        <v>309</v>
      </c>
      <c r="H80" s="206">
        <f t="shared" si="12"/>
        <v>304</v>
      </c>
      <c r="I80" s="428">
        <f>I38</f>
        <v>302</v>
      </c>
      <c r="J80" s="429"/>
      <c r="K80" s="206">
        <f t="shared" ref="K80" si="13">K38</f>
        <v>291</v>
      </c>
      <c r="L80" s="428">
        <f>L38</f>
        <v>270</v>
      </c>
      <c r="M80" s="429"/>
      <c r="N80" s="206">
        <f t="shared" ref="N80" si="14">N38</f>
        <v>290</v>
      </c>
      <c r="O80" s="428">
        <f>O38</f>
        <v>259</v>
      </c>
      <c r="P80" s="424"/>
      <c r="Q80" s="195" t="s">
        <v>284</v>
      </c>
    </row>
    <row r="81" spans="1:17" ht="18">
      <c r="A81" s="325" t="s">
        <v>292</v>
      </c>
      <c r="B81" s="419"/>
      <c r="C81" s="419"/>
      <c r="D81" s="11" t="s">
        <v>298</v>
      </c>
      <c r="E81" s="231">
        <f>ROUND(E79/E80,2)</f>
        <v>0.6</v>
      </c>
      <c r="F81" s="211">
        <f>ROUND(F79/F80,2)</f>
        <v>0.56999999999999995</v>
      </c>
      <c r="G81" s="232">
        <f>ROUND(G79/G80,2)</f>
        <v>0.48</v>
      </c>
      <c r="H81" s="231">
        <f>ROUND(H79/H80,2)</f>
        <v>0.5</v>
      </c>
      <c r="I81" s="435">
        <f>ROUND(I79/I80,2)</f>
        <v>0.5</v>
      </c>
      <c r="J81" s="436"/>
      <c r="K81" s="231">
        <f>ROUND(K79/K80,2)</f>
        <v>0.44</v>
      </c>
      <c r="L81" s="435">
        <f>ROUND(L79/L80,2)</f>
        <v>0.24</v>
      </c>
      <c r="M81" s="436"/>
      <c r="N81" s="231">
        <f>ROUND(N79/N80,2)</f>
        <v>0.17</v>
      </c>
      <c r="O81" s="435">
        <f>ROUND(O79/O80,2)</f>
        <v>0.42</v>
      </c>
      <c r="P81" s="437"/>
      <c r="Q81" s="195" t="s">
        <v>286</v>
      </c>
    </row>
    <row r="82" spans="1:17" ht="18">
      <c r="A82" s="325" t="s">
        <v>293</v>
      </c>
      <c r="B82" s="419"/>
      <c r="C82" s="419"/>
      <c r="D82" s="38" t="s">
        <v>243</v>
      </c>
      <c r="E82" s="339" t="s">
        <v>171</v>
      </c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24"/>
      <c r="Q82" s="174"/>
    </row>
    <row r="83" spans="1:17" ht="18.75" thickBot="1">
      <c r="A83" s="253" t="s">
        <v>136</v>
      </c>
      <c r="B83" s="254"/>
      <c r="C83" s="254"/>
      <c r="D83" s="39" t="s">
        <v>244</v>
      </c>
      <c r="E83" s="385" t="s">
        <v>137</v>
      </c>
      <c r="F83" s="254"/>
      <c r="G83" s="254"/>
      <c r="H83" s="254"/>
      <c r="I83" s="254"/>
      <c r="J83" s="254"/>
      <c r="K83" s="254"/>
      <c r="L83" s="254"/>
      <c r="M83" s="254"/>
      <c r="N83" s="254"/>
      <c r="O83" s="254"/>
      <c r="P83" s="288"/>
      <c r="Q83" s="175"/>
    </row>
    <row r="84" spans="1:17" ht="18">
      <c r="A84" s="369" t="s">
        <v>294</v>
      </c>
      <c r="B84" s="425"/>
      <c r="C84" s="425"/>
      <c r="D84" s="249" t="s">
        <v>309</v>
      </c>
      <c r="E84" s="233">
        <f>ROUND(E80*$E$78*0.25*((E81-1)+SQRT((E81-1)^2+7*0.5*1*E81^2/(E80*$E$78))),1)</f>
        <v>0.4</v>
      </c>
      <c r="F84" s="221">
        <f t="shared" ref="F84:L84" si="15">ROUND(F80*$E$78*0.25*((F81-1)+SQRT((F81-1)^2+7*0.5*1*F81^2/(F80*$E$78))),1)</f>
        <v>0.3</v>
      </c>
      <c r="G84" s="239">
        <f t="shared" si="15"/>
        <v>0.2</v>
      </c>
      <c r="H84" s="233">
        <f>ROUND(H80*$E$78*0.25*((H81-1)+SQRT((H81-1)^2+7*0.5*1*H81^2/(H80*$E$78))),1)</f>
        <v>0.2</v>
      </c>
      <c r="I84" s="433">
        <f t="shared" si="15"/>
        <v>0.2</v>
      </c>
      <c r="J84" s="434"/>
      <c r="K84" s="233">
        <f>ROUND(K80*$E$78*0.25*((K81-1)+SQRT((K81-1)^2+7*0.5*1*K81^2/(K80*$E$78))),1)</f>
        <v>0.2</v>
      </c>
      <c r="L84" s="433">
        <f t="shared" si="15"/>
        <v>0</v>
      </c>
      <c r="M84" s="434"/>
      <c r="N84" s="233">
        <f>ROUND(N80*$E$78*0.25*((N81-1)+SQRT((N81-1)^2+7*0.5*1*N81^2/(N80*$E$78))),1)</f>
        <v>0</v>
      </c>
      <c r="O84" s="433">
        <f t="shared" ref="O84" si="16">ROUND(O80*$E$78*0.25*((O81-1)+SQRT((O81-1)^2+7*0.5*1*O81^2/(O80*$E$78))),1)</f>
        <v>0.1</v>
      </c>
      <c r="P84" s="442"/>
      <c r="Q84" s="173" t="s">
        <v>319</v>
      </c>
    </row>
    <row r="85" spans="1:17" ht="18">
      <c r="A85" s="456" t="s">
        <v>295</v>
      </c>
      <c r="B85" s="457"/>
      <c r="C85" s="457"/>
      <c r="D85" s="248" t="s">
        <v>310</v>
      </c>
      <c r="E85" s="234">
        <f>(1/3600)*E79*E23/(1-E22*E81)+E84</f>
        <v>3.3506737859140605</v>
      </c>
      <c r="F85" s="212">
        <f>(1/3600)*F79*E23/(1-E22*F81)+F84</f>
        <v>3.2295568429954433</v>
      </c>
      <c r="G85" s="240">
        <f>(1/3600)*G79*E23/(1-E22*G81)+G84</f>
        <v>2.2252570185844207</v>
      </c>
      <c r="H85" s="234">
        <f>(1/3600)*H79*H23/(1-H22*H81)+H84</f>
        <v>2.3272893772893775</v>
      </c>
      <c r="I85" s="440">
        <f>(1/3600)*I79*H23/(1-H22*I81)+I84</f>
        <v>2.3272893772893775</v>
      </c>
      <c r="J85" s="441"/>
      <c r="K85" s="234">
        <f>(1/3600)*K79*K23/(1-K22*K81)+K84</f>
        <v>2.0117111302352271</v>
      </c>
      <c r="L85" s="440">
        <f>(1/3600)*L79*L23/(1-L22*L81)+L84</f>
        <v>0.86892216675910527</v>
      </c>
      <c r="M85" s="441"/>
      <c r="N85" s="234">
        <f>(1/3600)*N79*N23/(1-N22*N81)+N84</f>
        <v>0.64418859649122795</v>
      </c>
      <c r="O85" s="440">
        <f>(1/3600)*O79*O23/(1-O22*O81)+O84</f>
        <v>1.6115780445969126</v>
      </c>
      <c r="P85" s="443"/>
      <c r="Q85" s="174" t="s">
        <v>319</v>
      </c>
    </row>
    <row r="86" spans="1:17" ht="18">
      <c r="A86" s="456"/>
      <c r="B86" s="457"/>
      <c r="C86" s="457"/>
      <c r="D86" s="11" t="s">
        <v>315</v>
      </c>
      <c r="E86" s="235">
        <f>ROUNDUP(E85,0)</f>
        <v>4</v>
      </c>
      <c r="F86" s="214">
        <f t="shared" ref="F86:H86" si="17">ROUNDUP(F85,0)</f>
        <v>4</v>
      </c>
      <c r="G86" s="241">
        <f t="shared" si="17"/>
        <v>3</v>
      </c>
      <c r="H86" s="235">
        <f t="shared" si="17"/>
        <v>3</v>
      </c>
      <c r="I86" s="453">
        <f t="shared" ref="I86" si="18">ROUNDUP(I85,0)</f>
        <v>3</v>
      </c>
      <c r="J86" s="454"/>
      <c r="K86" s="235">
        <f t="shared" ref="K86" si="19">ROUNDUP(K85,0)</f>
        <v>3</v>
      </c>
      <c r="L86" s="453">
        <f t="shared" ref="L86" si="20">ROUNDUP(L85,0)</f>
        <v>1</v>
      </c>
      <c r="M86" s="454"/>
      <c r="N86" s="235">
        <f t="shared" ref="N86" si="21">ROUNDUP(N85,0)</f>
        <v>1</v>
      </c>
      <c r="O86" s="453">
        <f t="shared" ref="O86" si="22">ROUNDUP(O85,0)</f>
        <v>2</v>
      </c>
      <c r="P86" s="455"/>
      <c r="Q86" s="174" t="s">
        <v>319</v>
      </c>
    </row>
    <row r="87" spans="1:17" ht="18.75" thickBot="1">
      <c r="A87" s="420" t="s">
        <v>312</v>
      </c>
      <c r="B87" s="421"/>
      <c r="C87" s="421"/>
      <c r="D87" s="20" t="s">
        <v>313</v>
      </c>
      <c r="E87" s="236">
        <f>ROUND(E86*E77,1)</f>
        <v>26.8</v>
      </c>
      <c r="F87" s="222">
        <f t="shared" ref="F87:H87" si="23">ROUND(F86*F77,1)</f>
        <v>26.8</v>
      </c>
      <c r="G87" s="242">
        <f t="shared" si="23"/>
        <v>19.8</v>
      </c>
      <c r="H87" s="236">
        <f t="shared" si="23"/>
        <v>20.399999999999999</v>
      </c>
      <c r="I87" s="422">
        <f>ROUND(I86*I77,1)</f>
        <v>20.100000000000001</v>
      </c>
      <c r="J87" s="423"/>
      <c r="K87" s="236">
        <f t="shared" ref="K87" si="24">ROUND(K86*K77,1)</f>
        <v>19.8</v>
      </c>
      <c r="L87" s="422">
        <f>ROUND(L86*L77,1)</f>
        <v>6.8</v>
      </c>
      <c r="M87" s="423"/>
      <c r="N87" s="236">
        <f t="shared" ref="N87" si="25">ROUND(N86*N77,1)</f>
        <v>6.5</v>
      </c>
      <c r="O87" s="422">
        <f>ROUND(O86*O77,1)</f>
        <v>13.2</v>
      </c>
      <c r="P87" s="452"/>
      <c r="Q87" s="175" t="s">
        <v>287</v>
      </c>
    </row>
    <row r="88" spans="1:17" ht="18">
      <c r="A88" s="458" t="s">
        <v>303</v>
      </c>
      <c r="B88" s="459"/>
      <c r="C88" s="459"/>
      <c r="D88" s="250" t="s">
        <v>307</v>
      </c>
      <c r="E88" s="237">
        <f>ROUND(1.6+1.08*EXP(-E85/6.6),2)</f>
        <v>2.25</v>
      </c>
      <c r="F88" s="220">
        <f>ROUND(1.6+1.08*EXP(-F85/6.6),2)</f>
        <v>2.2599999999999998</v>
      </c>
      <c r="G88" s="243">
        <f>ROUND(1.6+1.08*EXP(-G85/6.6),2)</f>
        <v>2.37</v>
      </c>
      <c r="H88" s="237">
        <f>ROUND(1.6+1.08*EXP(-H85/6.6),2)</f>
        <v>2.36</v>
      </c>
      <c r="I88" s="438">
        <f>ROUND(1.6+1.08*EXP(-I85/6.6),2)</f>
        <v>2.36</v>
      </c>
      <c r="J88" s="439"/>
      <c r="K88" s="237">
        <f>ROUND(1.6+1.08*EXP(-K85/6.6),2)</f>
        <v>2.4</v>
      </c>
      <c r="L88" s="438">
        <f>ROUND(1.6+1.08*EXP(-L85/6.6),2)</f>
        <v>2.5499999999999998</v>
      </c>
      <c r="M88" s="439"/>
      <c r="N88" s="237">
        <f>ROUND(1.6+1.08*EXP(-N85/6.6),2)</f>
        <v>2.58</v>
      </c>
      <c r="O88" s="438">
        <f>ROUND(1.6+1.08*EXP(-O85/6.6),2)</f>
        <v>2.4500000000000002</v>
      </c>
      <c r="P88" s="444"/>
      <c r="Q88" s="176" t="s">
        <v>319</v>
      </c>
    </row>
    <row r="89" spans="1:17" ht="18">
      <c r="A89" s="456" t="s">
        <v>299</v>
      </c>
      <c r="B89" s="457"/>
      <c r="C89" s="457"/>
      <c r="D89" s="248" t="s">
        <v>311</v>
      </c>
      <c r="E89" s="234">
        <f>E85*E88</f>
        <v>7.5390160183066364</v>
      </c>
      <c r="F89" s="212">
        <f>F85*F88</f>
        <v>7.2987984651697015</v>
      </c>
      <c r="G89" s="240">
        <f>G85*G88</f>
        <v>5.2738591340450771</v>
      </c>
      <c r="H89" s="234">
        <f>H85*H88</f>
        <v>5.4924029304029309</v>
      </c>
      <c r="I89" s="440">
        <f>I85*I88</f>
        <v>5.4924029304029309</v>
      </c>
      <c r="J89" s="441"/>
      <c r="K89" s="234">
        <f>K85*K88</f>
        <v>4.8281067125645452</v>
      </c>
      <c r="L89" s="440">
        <f>L85*L88</f>
        <v>2.2157515252357185</v>
      </c>
      <c r="M89" s="441"/>
      <c r="N89" s="234">
        <f>N85*N88</f>
        <v>1.6620065789473681</v>
      </c>
      <c r="O89" s="440">
        <f>O85*O88</f>
        <v>3.9483662092624359</v>
      </c>
      <c r="P89" s="443"/>
      <c r="Q89" s="174" t="s">
        <v>319</v>
      </c>
    </row>
    <row r="90" spans="1:17" ht="18">
      <c r="A90" s="456"/>
      <c r="B90" s="457"/>
      <c r="C90" s="457"/>
      <c r="D90" s="11" t="s">
        <v>316</v>
      </c>
      <c r="E90" s="235">
        <f>ROUNDUP(E89,0)</f>
        <v>8</v>
      </c>
      <c r="F90" s="214">
        <f t="shared" ref="F90:N90" si="26">ROUNDUP(F89,0)</f>
        <v>8</v>
      </c>
      <c r="G90" s="241">
        <f t="shared" si="26"/>
        <v>6</v>
      </c>
      <c r="H90" s="235">
        <f t="shared" si="26"/>
        <v>6</v>
      </c>
      <c r="I90" s="453">
        <f t="shared" si="26"/>
        <v>6</v>
      </c>
      <c r="J90" s="454"/>
      <c r="K90" s="235">
        <f t="shared" si="26"/>
        <v>5</v>
      </c>
      <c r="L90" s="453">
        <f t="shared" ref="L90" si="27">ROUNDUP(L89,0)</f>
        <v>3</v>
      </c>
      <c r="M90" s="454"/>
      <c r="N90" s="235">
        <f t="shared" si="26"/>
        <v>2</v>
      </c>
      <c r="O90" s="453">
        <f t="shared" ref="O90" si="28">ROUNDUP(O89,0)</f>
        <v>4</v>
      </c>
      <c r="P90" s="455"/>
      <c r="Q90" s="174" t="s">
        <v>319</v>
      </c>
    </row>
    <row r="91" spans="1:17" ht="18.75" thickBot="1">
      <c r="A91" s="420" t="s">
        <v>302</v>
      </c>
      <c r="B91" s="421"/>
      <c r="C91" s="421"/>
      <c r="D91" s="20" t="s">
        <v>304</v>
      </c>
      <c r="E91" s="238">
        <f>ROUND(E90*E77,1)</f>
        <v>53.6</v>
      </c>
      <c r="F91" s="223">
        <f t="shared" ref="F91:H91" si="29">ROUND(F90*F77,1)</f>
        <v>53.6</v>
      </c>
      <c r="G91" s="244">
        <f t="shared" si="29"/>
        <v>39.6</v>
      </c>
      <c r="H91" s="238">
        <f t="shared" si="29"/>
        <v>40.799999999999997</v>
      </c>
      <c r="I91" s="449">
        <f>ROUND(I90*I77,1)</f>
        <v>40.200000000000003</v>
      </c>
      <c r="J91" s="450"/>
      <c r="K91" s="238">
        <f>ROUND(K90*K77,1)</f>
        <v>33</v>
      </c>
      <c r="L91" s="449">
        <f>ROUND(L90*L77,1)</f>
        <v>20.399999999999999</v>
      </c>
      <c r="M91" s="450"/>
      <c r="N91" s="238">
        <f>ROUND(N90*N77,1)</f>
        <v>13</v>
      </c>
      <c r="O91" s="449">
        <f>ROUND(O90*O77,1)</f>
        <v>26.4</v>
      </c>
      <c r="P91" s="451"/>
      <c r="Q91" s="175" t="s">
        <v>287</v>
      </c>
    </row>
    <row r="92" spans="1:17">
      <c r="A92" t="s">
        <v>172</v>
      </c>
    </row>
  </sheetData>
  <mergeCells count="293">
    <mergeCell ref="L74:M74"/>
    <mergeCell ref="O74:P74"/>
    <mergeCell ref="L77:M77"/>
    <mergeCell ref="L91:M91"/>
    <mergeCell ref="O77:P77"/>
    <mergeCell ref="O91:P91"/>
    <mergeCell ref="A79:C79"/>
    <mergeCell ref="L87:M87"/>
    <mergeCell ref="O87:P87"/>
    <mergeCell ref="I86:J86"/>
    <mergeCell ref="L86:M86"/>
    <mergeCell ref="O86:P86"/>
    <mergeCell ref="A85:C86"/>
    <mergeCell ref="A89:C90"/>
    <mergeCell ref="I90:J90"/>
    <mergeCell ref="L90:M90"/>
    <mergeCell ref="O90:P90"/>
    <mergeCell ref="A91:C91"/>
    <mergeCell ref="A88:C88"/>
    <mergeCell ref="I88:J88"/>
    <mergeCell ref="I89:J89"/>
    <mergeCell ref="I74:J74"/>
    <mergeCell ref="I77:J77"/>
    <mergeCell ref="I91:J91"/>
    <mergeCell ref="L88:M88"/>
    <mergeCell ref="L89:M89"/>
    <mergeCell ref="I85:J85"/>
    <mergeCell ref="L84:M84"/>
    <mergeCell ref="O84:P84"/>
    <mergeCell ref="L85:M85"/>
    <mergeCell ref="O85:P85"/>
    <mergeCell ref="O88:P88"/>
    <mergeCell ref="O89:P89"/>
    <mergeCell ref="A87:C87"/>
    <mergeCell ref="I87:J87"/>
    <mergeCell ref="A82:C82"/>
    <mergeCell ref="E82:P82"/>
    <mergeCell ref="A84:C84"/>
    <mergeCell ref="A83:C83"/>
    <mergeCell ref="E83:P83"/>
    <mergeCell ref="I73:J73"/>
    <mergeCell ref="L73:M73"/>
    <mergeCell ref="O73:P73"/>
    <mergeCell ref="A80:C80"/>
    <mergeCell ref="L80:M80"/>
    <mergeCell ref="O80:P80"/>
    <mergeCell ref="A78:C78"/>
    <mergeCell ref="E78:P78"/>
    <mergeCell ref="I84:J84"/>
    <mergeCell ref="I79:J79"/>
    <mergeCell ref="L79:M79"/>
    <mergeCell ref="O79:P79"/>
    <mergeCell ref="I80:J80"/>
    <mergeCell ref="A81:C81"/>
    <mergeCell ref="I81:J81"/>
    <mergeCell ref="L81:M81"/>
    <mergeCell ref="O81:P81"/>
    <mergeCell ref="A74:C74"/>
    <mergeCell ref="A75:C75"/>
    <mergeCell ref="E75:P75"/>
    <mergeCell ref="A76:C76"/>
    <mergeCell ref="E76:P76"/>
    <mergeCell ref="A77:C77"/>
    <mergeCell ref="A7:Q7"/>
    <mergeCell ref="Q8:Q10"/>
    <mergeCell ref="A71:Q71"/>
    <mergeCell ref="A72:C72"/>
    <mergeCell ref="E72:G72"/>
    <mergeCell ref="H72:J72"/>
    <mergeCell ref="K72:M72"/>
    <mergeCell ref="N72:P72"/>
    <mergeCell ref="A38:C38"/>
    <mergeCell ref="I38:J38"/>
    <mergeCell ref="L38:M38"/>
    <mergeCell ref="O38:P38"/>
    <mergeCell ref="Q72:Q73"/>
    <mergeCell ref="A10:C10"/>
    <mergeCell ref="A13:C13"/>
    <mergeCell ref="A14:C14"/>
    <mergeCell ref="A42:C42"/>
    <mergeCell ref="E42:G42"/>
    <mergeCell ref="H42:J42"/>
    <mergeCell ref="K42:M42"/>
    <mergeCell ref="N42:P42"/>
    <mergeCell ref="A35:C35"/>
    <mergeCell ref="A36:C36"/>
    <mergeCell ref="A73:C73"/>
    <mergeCell ref="J2:Q2"/>
    <mergeCell ref="A15:C15"/>
    <mergeCell ref="E15:G15"/>
    <mergeCell ref="H15:J15"/>
    <mergeCell ref="E19:P19"/>
    <mergeCell ref="A20:C20"/>
    <mergeCell ref="E20:P20"/>
    <mergeCell ref="A21:C21"/>
    <mergeCell ref="E21:G21"/>
    <mergeCell ref="H21:J21"/>
    <mergeCell ref="A18:C18"/>
    <mergeCell ref="A19:C19"/>
    <mergeCell ref="A17:C17"/>
    <mergeCell ref="E17:G17"/>
    <mergeCell ref="H17:J17"/>
    <mergeCell ref="K15:M15"/>
    <mergeCell ref="N15:P15"/>
    <mergeCell ref="A16:C16"/>
    <mergeCell ref="L17:M17"/>
    <mergeCell ref="A9:C9"/>
    <mergeCell ref="E9:G9"/>
    <mergeCell ref="H9:J9"/>
    <mergeCell ref="K9:M9"/>
    <mergeCell ref="N9:P9"/>
    <mergeCell ref="A22:C22"/>
    <mergeCell ref="E22:G22"/>
    <mergeCell ref="H22:J22"/>
    <mergeCell ref="O17:P17"/>
    <mergeCell ref="O22:P22"/>
    <mergeCell ref="O21:P21"/>
    <mergeCell ref="L22:M22"/>
    <mergeCell ref="L21:M21"/>
    <mergeCell ref="E18:P18"/>
    <mergeCell ref="A11:C11"/>
    <mergeCell ref="A12:C12"/>
    <mergeCell ref="E12:G12"/>
    <mergeCell ref="H12:J12"/>
    <mergeCell ref="K12:M12"/>
    <mergeCell ref="A24:C24"/>
    <mergeCell ref="A29:C29"/>
    <mergeCell ref="A25:C25"/>
    <mergeCell ref="A28:C28"/>
    <mergeCell ref="A23:C23"/>
    <mergeCell ref="E23:G23"/>
    <mergeCell ref="H23:J23"/>
    <mergeCell ref="A26:C26"/>
    <mergeCell ref="O37:P37"/>
    <mergeCell ref="A31:C31"/>
    <mergeCell ref="A32:C34"/>
    <mergeCell ref="I31:J31"/>
    <mergeCell ref="I32:J32"/>
    <mergeCell ref="I33:J33"/>
    <mergeCell ref="I34:J34"/>
    <mergeCell ref="I35:J35"/>
    <mergeCell ref="I36:J36"/>
    <mergeCell ref="L32:M32"/>
    <mergeCell ref="L23:M23"/>
    <mergeCell ref="O23:P23"/>
    <mergeCell ref="H28:J28"/>
    <mergeCell ref="E28:G28"/>
    <mergeCell ref="L25:M25"/>
    <mergeCell ref="O25:P25"/>
    <mergeCell ref="A43:C43"/>
    <mergeCell ref="E43:G43"/>
    <mergeCell ref="H43:J43"/>
    <mergeCell ref="K43:M43"/>
    <mergeCell ref="N43:P43"/>
    <mergeCell ref="A45:C45"/>
    <mergeCell ref="E44:G44"/>
    <mergeCell ref="H44:J44"/>
    <mergeCell ref="E46:P46"/>
    <mergeCell ref="L44:M44"/>
    <mergeCell ref="O44:P44"/>
    <mergeCell ref="E45:P45"/>
    <mergeCell ref="H59:J59"/>
    <mergeCell ref="A60:C60"/>
    <mergeCell ref="A49:C49"/>
    <mergeCell ref="E49:G49"/>
    <mergeCell ref="H49:J49"/>
    <mergeCell ref="K49:M49"/>
    <mergeCell ref="N49:P49"/>
    <mergeCell ref="A51:C51"/>
    <mergeCell ref="E51:P51"/>
    <mergeCell ref="E55:G55"/>
    <mergeCell ref="H55:J55"/>
    <mergeCell ref="K55:M55"/>
    <mergeCell ref="N55:P55"/>
    <mergeCell ref="A50:C50"/>
    <mergeCell ref="E50:P50"/>
    <mergeCell ref="A52:C52"/>
    <mergeCell ref="E52:G52"/>
    <mergeCell ref="H52:J52"/>
    <mergeCell ref="A54:C54"/>
    <mergeCell ref="E54:G54"/>
    <mergeCell ref="H54:J54"/>
    <mergeCell ref="K54:M54"/>
    <mergeCell ref="N54:P54"/>
    <mergeCell ref="A8:C8"/>
    <mergeCell ref="E8:G8"/>
    <mergeCell ref="H8:J8"/>
    <mergeCell ref="K8:M8"/>
    <mergeCell ref="N8:P8"/>
    <mergeCell ref="E68:P68"/>
    <mergeCell ref="A69:C69"/>
    <mergeCell ref="E69:P69"/>
    <mergeCell ref="A68:C68"/>
    <mergeCell ref="A67:C67"/>
    <mergeCell ref="E67:G67"/>
    <mergeCell ref="H67:J67"/>
    <mergeCell ref="K67:M67"/>
    <mergeCell ref="N67:P67"/>
    <mergeCell ref="E60:P60"/>
    <mergeCell ref="A66:C66"/>
    <mergeCell ref="E66:G66"/>
    <mergeCell ref="H66:J66"/>
    <mergeCell ref="K66:M66"/>
    <mergeCell ref="N66:P66"/>
    <mergeCell ref="A61:C61"/>
    <mergeCell ref="E61:P61"/>
    <mergeCell ref="A59:C59"/>
    <mergeCell ref="A63:C63"/>
    <mergeCell ref="E63:G63"/>
    <mergeCell ref="H63:J63"/>
    <mergeCell ref="A58:C58"/>
    <mergeCell ref="A39:C39"/>
    <mergeCell ref="L39:M39"/>
    <mergeCell ref="O39:P39"/>
    <mergeCell ref="E39:G39"/>
    <mergeCell ref="H39:J39"/>
    <mergeCell ref="L40:M40"/>
    <mergeCell ref="O40:P40"/>
    <mergeCell ref="A41:C41"/>
    <mergeCell ref="E41:G41"/>
    <mergeCell ref="H41:J41"/>
    <mergeCell ref="O41:P41"/>
    <mergeCell ref="L41:M41"/>
    <mergeCell ref="A40:C40"/>
    <mergeCell ref="E53:G53"/>
    <mergeCell ref="H53:J53"/>
    <mergeCell ref="N58:P58"/>
    <mergeCell ref="A48:Q48"/>
    <mergeCell ref="A62:C62"/>
    <mergeCell ref="E62:G62"/>
    <mergeCell ref="H62:J62"/>
    <mergeCell ref="E59:G59"/>
    <mergeCell ref="O32:P32"/>
    <mergeCell ref="O33:P33"/>
    <mergeCell ref="O34:P34"/>
    <mergeCell ref="O35:P35"/>
    <mergeCell ref="O36:P36"/>
    <mergeCell ref="K28:M28"/>
    <mergeCell ref="N28:P28"/>
    <mergeCell ref="L65:M65"/>
    <mergeCell ref="O65:P65"/>
    <mergeCell ref="K57:M57"/>
    <mergeCell ref="N57:P57"/>
    <mergeCell ref="K56:M56"/>
    <mergeCell ref="N56:P56"/>
    <mergeCell ref="N27:P27"/>
    <mergeCell ref="N12:P12"/>
    <mergeCell ref="A64:C64"/>
    <mergeCell ref="A65:C65"/>
    <mergeCell ref="L52:M52"/>
    <mergeCell ref="L53:M53"/>
    <mergeCell ref="L62:M62"/>
    <mergeCell ref="L63:M63"/>
    <mergeCell ref="O52:P52"/>
    <mergeCell ref="O53:P53"/>
    <mergeCell ref="O62:P62"/>
    <mergeCell ref="O63:P63"/>
    <mergeCell ref="L59:M59"/>
    <mergeCell ref="O59:P59"/>
    <mergeCell ref="E64:G64"/>
    <mergeCell ref="H64:J64"/>
    <mergeCell ref="L64:M64"/>
    <mergeCell ref="O64:P64"/>
    <mergeCell ref="E65:G65"/>
    <mergeCell ref="H65:J65"/>
    <mergeCell ref="L31:M31"/>
    <mergeCell ref="O31:P31"/>
    <mergeCell ref="A37:C37"/>
    <mergeCell ref="I37:J37"/>
    <mergeCell ref="E40:G40"/>
    <mergeCell ref="H40:J40"/>
    <mergeCell ref="E58:G58"/>
    <mergeCell ref="H58:J58"/>
    <mergeCell ref="K58:M58"/>
    <mergeCell ref="A27:C27"/>
    <mergeCell ref="E27:G27"/>
    <mergeCell ref="H27:J27"/>
    <mergeCell ref="K27:M27"/>
    <mergeCell ref="L37:M37"/>
    <mergeCell ref="L33:M33"/>
    <mergeCell ref="L34:M34"/>
    <mergeCell ref="L35:M35"/>
    <mergeCell ref="L36:M36"/>
    <mergeCell ref="A53:C53"/>
    <mergeCell ref="A56:C56"/>
    <mergeCell ref="E56:G56"/>
    <mergeCell ref="H56:J56"/>
    <mergeCell ref="A57:C57"/>
    <mergeCell ref="E57:G57"/>
    <mergeCell ref="H57:J57"/>
    <mergeCell ref="A55:C55"/>
    <mergeCell ref="A44:C44"/>
    <mergeCell ref="A46:C4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ignoredErrors>
    <ignoredError sqref="E66:P6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67"/>
  <sheetViews>
    <sheetView topLeftCell="A49" workbookViewId="0">
      <selection activeCell="S39" sqref="S39"/>
    </sheetView>
  </sheetViews>
  <sheetFormatPr defaultRowHeight="15"/>
  <cols>
    <col min="7" max="7" width="9.28515625" bestFit="1" customWidth="1"/>
    <col min="13" max="13" width="9.28515625" bestFit="1" customWidth="1"/>
    <col min="17" max="17" width="9.140625" style="189"/>
  </cols>
  <sheetData>
    <row r="2" spans="1:17">
      <c r="A2" s="9" t="s">
        <v>265</v>
      </c>
      <c r="J2" s="348" t="str">
        <f>DANE</f>
        <v>Rok 2016 - szczyt popołudniowy</v>
      </c>
      <c r="K2" s="348"/>
      <c r="L2" s="348"/>
      <c r="M2" s="348"/>
      <c r="N2" s="348"/>
      <c r="O2" s="348"/>
      <c r="P2" s="348"/>
      <c r="Q2" s="348"/>
    </row>
    <row r="3" spans="1:17">
      <c r="A3" s="9" t="s">
        <v>266</v>
      </c>
    </row>
    <row r="4" spans="1:17">
      <c r="A4" t="s">
        <v>185</v>
      </c>
    </row>
    <row r="5" spans="1:17" ht="18">
      <c r="A5" s="72" t="s">
        <v>280</v>
      </c>
    </row>
    <row r="6" spans="1:17" ht="15.75" thickBot="1">
      <c r="A6" s="72"/>
    </row>
    <row r="7" spans="1:17" ht="15.75" thickBot="1">
      <c r="A7" s="344" t="s">
        <v>178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256"/>
    </row>
    <row r="8" spans="1:17">
      <c r="A8" s="395" t="s">
        <v>52</v>
      </c>
      <c r="B8" s="396"/>
      <c r="C8" s="431"/>
      <c r="D8" s="10" t="s">
        <v>156</v>
      </c>
      <c r="E8" s="354" t="str">
        <f>'Skrzyżowanie z sygnalizacją'!E8:G8</f>
        <v>GEN. SIKORSKIEGO ZACH.</v>
      </c>
      <c r="F8" s="354"/>
      <c r="G8" s="355"/>
      <c r="H8" s="353" t="str">
        <f>'Skrzyżowanie z sygnalizacją'!H8:J8</f>
        <v>GEN. SIKORSKIEGO WSCH.</v>
      </c>
      <c r="I8" s="354"/>
      <c r="J8" s="355"/>
      <c r="K8" s="353" t="str">
        <f>'Skrzyżowanie z sygnalizacją'!K8:M8</f>
        <v>MONIUSZKI PŁD.</v>
      </c>
      <c r="L8" s="354"/>
      <c r="M8" s="355"/>
      <c r="N8" s="353" t="str">
        <f>'Skrzyżowanie z sygnalizacją'!N8:P8</f>
        <v>MONIUSZKI PŁN.</v>
      </c>
      <c r="O8" s="354"/>
      <c r="P8" s="355"/>
      <c r="Q8" s="346" t="s">
        <v>285</v>
      </c>
    </row>
    <row r="9" spans="1:17" ht="15.75" thickBot="1">
      <c r="A9" s="264" t="s">
        <v>61</v>
      </c>
      <c r="B9" s="290"/>
      <c r="C9" s="385"/>
      <c r="D9" s="12" t="s">
        <v>155</v>
      </c>
      <c r="E9" s="75" t="s">
        <v>54</v>
      </c>
      <c r="F9" s="163" t="s">
        <v>53</v>
      </c>
      <c r="G9" s="76" t="s">
        <v>55</v>
      </c>
      <c r="H9" s="75" t="s">
        <v>62</v>
      </c>
      <c r="I9" s="163" t="s">
        <v>63</v>
      </c>
      <c r="J9" s="76" t="s">
        <v>64</v>
      </c>
      <c r="K9" s="75" t="s">
        <v>65</v>
      </c>
      <c r="L9" s="163" t="s">
        <v>66</v>
      </c>
      <c r="M9" s="76" t="s">
        <v>43</v>
      </c>
      <c r="N9" s="75" t="s">
        <v>67</v>
      </c>
      <c r="O9" s="163" t="s">
        <v>68</v>
      </c>
      <c r="P9" s="167" t="s">
        <v>69</v>
      </c>
      <c r="Q9" s="415"/>
    </row>
    <row r="10" spans="1:17" ht="18">
      <c r="A10" s="395" t="s">
        <v>200</v>
      </c>
      <c r="B10" s="396"/>
      <c r="C10" s="431"/>
      <c r="D10" s="13" t="s">
        <v>201</v>
      </c>
      <c r="E10" s="162">
        <f>QALM</f>
        <v>89</v>
      </c>
      <c r="F10" s="142">
        <f>QAWM</f>
        <v>274</v>
      </c>
      <c r="G10" s="16">
        <f>QAPM</f>
        <v>128</v>
      </c>
      <c r="H10" s="162">
        <f>QBLM</f>
        <v>34</v>
      </c>
      <c r="I10" s="142">
        <f>QBWM</f>
        <v>218</v>
      </c>
      <c r="J10" s="16">
        <f>QBPM</f>
        <v>36</v>
      </c>
      <c r="K10" s="162">
        <f>QCLM</f>
        <v>94</v>
      </c>
      <c r="L10" s="142">
        <f>QCWM</f>
        <v>35</v>
      </c>
      <c r="M10" s="16">
        <f>QCPM</f>
        <v>12</v>
      </c>
      <c r="N10" s="162">
        <f>QDLM</f>
        <v>41</v>
      </c>
      <c r="O10" s="142">
        <f>QDWM</f>
        <v>42</v>
      </c>
      <c r="P10" s="36">
        <f>QDPM</f>
        <v>51</v>
      </c>
      <c r="Q10" s="193" t="s">
        <v>284</v>
      </c>
    </row>
    <row r="11" spans="1:17" ht="18">
      <c r="A11" s="343" t="s">
        <v>199</v>
      </c>
      <c r="B11" s="338"/>
      <c r="C11" s="339"/>
      <c r="D11" s="13" t="s">
        <v>202</v>
      </c>
      <c r="E11" s="343">
        <f>A.k15</f>
        <v>0.86</v>
      </c>
      <c r="F11" s="338"/>
      <c r="G11" s="342"/>
      <c r="H11" s="343">
        <f>B.k15</f>
        <v>0.95</v>
      </c>
      <c r="I11" s="338"/>
      <c r="J11" s="342"/>
      <c r="K11" s="343">
        <f>C.k15</f>
        <v>0.73</v>
      </c>
      <c r="L11" s="338"/>
      <c r="M11" s="342"/>
      <c r="N11" s="343">
        <f>D.k15</f>
        <v>0.86</v>
      </c>
      <c r="O11" s="338"/>
      <c r="P11" s="342"/>
      <c r="Q11" s="195" t="s">
        <v>286</v>
      </c>
    </row>
    <row r="12" spans="1:17" ht="18">
      <c r="A12" s="343" t="s">
        <v>159</v>
      </c>
      <c r="B12" s="338"/>
      <c r="C12" s="339"/>
      <c r="D12" s="13" t="s">
        <v>203</v>
      </c>
      <c r="E12" s="162">
        <f>QAL</f>
        <v>103</v>
      </c>
      <c r="F12" s="142">
        <f>QAW</f>
        <v>319</v>
      </c>
      <c r="G12" s="16">
        <f>QAP</f>
        <v>149</v>
      </c>
      <c r="H12" s="162">
        <f>QBL</f>
        <v>36</v>
      </c>
      <c r="I12" s="142">
        <f>QBW</f>
        <v>229</v>
      </c>
      <c r="J12" s="16">
        <f>QBP</f>
        <v>38</v>
      </c>
      <c r="K12" s="162">
        <f>QCL</f>
        <v>129</v>
      </c>
      <c r="L12" s="142">
        <f>QCW</f>
        <v>48</v>
      </c>
      <c r="M12" s="16">
        <f>QCP</f>
        <v>16</v>
      </c>
      <c r="N12" s="162">
        <f>QDL</f>
        <v>48</v>
      </c>
      <c r="O12" s="142">
        <f>QDW</f>
        <v>49</v>
      </c>
      <c r="P12" s="36">
        <f>QDP</f>
        <v>59</v>
      </c>
      <c r="Q12" s="195" t="s">
        <v>284</v>
      </c>
    </row>
    <row r="13" spans="1:17" ht="18">
      <c r="A13" s="343" t="s">
        <v>71</v>
      </c>
      <c r="B13" s="338"/>
      <c r="C13" s="339"/>
      <c r="D13" s="11" t="s">
        <v>204</v>
      </c>
      <c r="E13" s="338">
        <f>SUM(E12:G12)</f>
        <v>571</v>
      </c>
      <c r="F13" s="338"/>
      <c r="G13" s="342"/>
      <c r="H13" s="343">
        <f>SUM(H12:J12)</f>
        <v>303</v>
      </c>
      <c r="I13" s="338"/>
      <c r="J13" s="342"/>
      <c r="K13" s="343">
        <f>SUM(K12:M12)</f>
        <v>193</v>
      </c>
      <c r="L13" s="338"/>
      <c r="M13" s="342"/>
      <c r="N13" s="343">
        <f>SUM(N12:P12)</f>
        <v>156</v>
      </c>
      <c r="O13" s="338"/>
      <c r="P13" s="342"/>
      <c r="Q13" s="195" t="s">
        <v>284</v>
      </c>
    </row>
    <row r="14" spans="1:17">
      <c r="A14" s="343" t="s">
        <v>70</v>
      </c>
      <c r="B14" s="338"/>
      <c r="C14" s="339"/>
      <c r="D14" s="14" t="s">
        <v>46</v>
      </c>
      <c r="E14" s="506">
        <f>ROUND('Dane wejściowe'!F18/'Dane wejściowe'!F19,3)</f>
        <v>7.2999999999999995E-2</v>
      </c>
      <c r="F14" s="507"/>
      <c r="G14" s="508"/>
      <c r="H14" s="506">
        <f>ROUND('Dane wejściowe'!N18/'Dane wejściowe'!N19,3)</f>
        <v>0.08</v>
      </c>
      <c r="I14" s="507"/>
      <c r="J14" s="508"/>
      <c r="K14" s="506">
        <f>ROUND('Dane wejściowe'!I26/'Dane wejściowe'!J26,3)</f>
        <v>8.5000000000000006E-2</v>
      </c>
      <c r="L14" s="507"/>
      <c r="M14" s="508"/>
      <c r="N14" s="506">
        <f>ROUND('Dane wejściowe'!I11/'Dane wejściowe'!J11,3)</f>
        <v>5.1999999999999998E-2</v>
      </c>
      <c r="O14" s="507"/>
      <c r="P14" s="508"/>
      <c r="Q14" s="195" t="s">
        <v>286</v>
      </c>
    </row>
    <row r="15" spans="1:17" ht="18.75" thickBot="1">
      <c r="A15" s="264" t="s">
        <v>72</v>
      </c>
      <c r="B15" s="290"/>
      <c r="C15" s="385"/>
      <c r="D15" s="12" t="s">
        <v>205</v>
      </c>
      <c r="E15" s="24">
        <f>ROUND(E12/E13,2)</f>
        <v>0.18</v>
      </c>
      <c r="F15" s="25">
        <f>ROUND(F12/E13,2)</f>
        <v>0.56000000000000005</v>
      </c>
      <c r="G15" s="26">
        <f>ROUND(G12/E13,2)</f>
        <v>0.26</v>
      </c>
      <c r="H15" s="24">
        <f>ROUND(H12/H13,2)</f>
        <v>0.12</v>
      </c>
      <c r="I15" s="25">
        <f>ROUND(I12/H13,2)</f>
        <v>0.76</v>
      </c>
      <c r="J15" s="26">
        <f>ROUND(J12/H13,2)</f>
        <v>0.13</v>
      </c>
      <c r="K15" s="24">
        <f>ROUND(K12/K13,2)</f>
        <v>0.67</v>
      </c>
      <c r="L15" s="25">
        <f>ROUND(L12/K13,2)</f>
        <v>0.25</v>
      </c>
      <c r="M15" s="26">
        <f>ROUND(M12/K13,2)</f>
        <v>0.08</v>
      </c>
      <c r="N15" s="24">
        <f>ROUND(N12/N13,2)</f>
        <v>0.31</v>
      </c>
      <c r="O15" s="25">
        <f>ROUND(O12/N13,2)</f>
        <v>0.31</v>
      </c>
      <c r="P15" s="168">
        <f>ROUND(P12/N13,2)</f>
        <v>0.38</v>
      </c>
      <c r="Q15" s="194" t="s">
        <v>286</v>
      </c>
    </row>
    <row r="16" spans="1:17" ht="15.75" thickBot="1">
      <c r="A16" s="299" t="s">
        <v>147</v>
      </c>
      <c r="B16" s="300"/>
      <c r="C16" s="466"/>
      <c r="D16" s="65" t="s">
        <v>154</v>
      </c>
      <c r="E16" s="344" t="s">
        <v>180</v>
      </c>
      <c r="F16" s="313"/>
      <c r="G16" s="148" t="s">
        <v>181</v>
      </c>
      <c r="H16" s="344" t="s">
        <v>148</v>
      </c>
      <c r="I16" s="313"/>
      <c r="J16" s="148" t="s">
        <v>149</v>
      </c>
      <c r="K16" s="344" t="s">
        <v>182</v>
      </c>
      <c r="L16" s="313"/>
      <c r="M16" s="131" t="s">
        <v>43</v>
      </c>
      <c r="N16" s="344" t="s">
        <v>183</v>
      </c>
      <c r="O16" s="313"/>
      <c r="P16" s="130" t="s">
        <v>69</v>
      </c>
      <c r="Q16" s="196"/>
    </row>
    <row r="17" spans="1:21" ht="18">
      <c r="A17" s="476" t="s">
        <v>86</v>
      </c>
      <c r="B17" s="317"/>
      <c r="C17" s="318"/>
      <c r="D17" s="64" t="s">
        <v>247</v>
      </c>
      <c r="E17" s="488">
        <f>ROUND(E12/(0.5*E13),2)</f>
        <v>0.36</v>
      </c>
      <c r="F17" s="489"/>
      <c r="G17" s="115">
        <v>0</v>
      </c>
      <c r="H17" s="488">
        <f>ROUND(H12/(0.5*H13),2)</f>
        <v>0.24</v>
      </c>
      <c r="I17" s="489"/>
      <c r="J17" s="115">
        <v>0</v>
      </c>
      <c r="K17" s="488">
        <f>ROUND(K12/K20,2)</f>
        <v>0.73</v>
      </c>
      <c r="L17" s="489"/>
      <c r="M17" s="115">
        <v>0</v>
      </c>
      <c r="N17" s="488">
        <f>ROUND(N12/N20,2)</f>
        <v>0.49</v>
      </c>
      <c r="O17" s="489"/>
      <c r="P17" s="169">
        <v>0</v>
      </c>
      <c r="Q17" s="193" t="s">
        <v>286</v>
      </c>
    </row>
    <row r="18" spans="1:21" ht="18">
      <c r="A18" s="477"/>
      <c r="B18" s="320"/>
      <c r="C18" s="321"/>
      <c r="D18" s="64" t="s">
        <v>248</v>
      </c>
      <c r="E18" s="490">
        <f>ROUND((E20-E12)/E20,2)</f>
        <v>0.64</v>
      </c>
      <c r="F18" s="491"/>
      <c r="G18" s="116">
        <f>ROUND((G20-G12)/G20,2)</f>
        <v>0.48</v>
      </c>
      <c r="H18" s="490">
        <f>ROUND((H20-H12)/H20,2)</f>
        <v>0.76</v>
      </c>
      <c r="I18" s="491"/>
      <c r="J18" s="116">
        <f>ROUND((J20-J12)/J20,2)</f>
        <v>0.75</v>
      </c>
      <c r="K18" s="490">
        <f>ROUND(L12/K20,2)</f>
        <v>0.27</v>
      </c>
      <c r="L18" s="491"/>
      <c r="M18" s="116">
        <v>0</v>
      </c>
      <c r="N18" s="490">
        <f>ROUND(O12/N20,2)</f>
        <v>0.51</v>
      </c>
      <c r="O18" s="491"/>
      <c r="P18" s="170">
        <v>0</v>
      </c>
      <c r="Q18" s="195" t="s">
        <v>286</v>
      </c>
    </row>
    <row r="19" spans="1:21" ht="18">
      <c r="A19" s="478"/>
      <c r="B19" s="323"/>
      <c r="C19" s="324"/>
      <c r="D19" s="64" t="s">
        <v>249</v>
      </c>
      <c r="E19" s="490">
        <v>0</v>
      </c>
      <c r="F19" s="491"/>
      <c r="G19" s="116">
        <f>ROUND(G12/(0.5*E13),2)</f>
        <v>0.52</v>
      </c>
      <c r="H19" s="490">
        <v>0</v>
      </c>
      <c r="I19" s="491"/>
      <c r="J19" s="116">
        <f>ROUND(J12/(0.5*H13),2)</f>
        <v>0.25</v>
      </c>
      <c r="K19" s="490">
        <v>0</v>
      </c>
      <c r="L19" s="491"/>
      <c r="M19" s="116">
        <v>1</v>
      </c>
      <c r="N19" s="490">
        <v>0</v>
      </c>
      <c r="O19" s="491"/>
      <c r="P19" s="170">
        <v>1</v>
      </c>
      <c r="Q19" s="195" t="s">
        <v>286</v>
      </c>
    </row>
    <row r="20" spans="1:21" ht="18">
      <c r="A20" s="371" t="s">
        <v>197</v>
      </c>
      <c r="B20" s="338"/>
      <c r="C20" s="339"/>
      <c r="D20" s="64" t="s">
        <v>216</v>
      </c>
      <c r="E20" s="472">
        <f>0.5*E13</f>
        <v>285.5</v>
      </c>
      <c r="F20" s="473"/>
      <c r="G20" s="114">
        <f>0.5*E13</f>
        <v>285.5</v>
      </c>
      <c r="H20" s="472">
        <f>ROUND(0.5*H13,0)</f>
        <v>152</v>
      </c>
      <c r="I20" s="473"/>
      <c r="J20" s="114">
        <f>ROUND(0.5*H13,0)</f>
        <v>152</v>
      </c>
      <c r="K20" s="472">
        <f>K12+L12</f>
        <v>177</v>
      </c>
      <c r="L20" s="473"/>
      <c r="M20" s="114">
        <f>M12</f>
        <v>16</v>
      </c>
      <c r="N20" s="472">
        <f>N12+O12</f>
        <v>97</v>
      </c>
      <c r="O20" s="473"/>
      <c r="P20" s="119">
        <f>P12</f>
        <v>59</v>
      </c>
      <c r="Q20" s="195" t="s">
        <v>284</v>
      </c>
    </row>
    <row r="21" spans="1:21" ht="18" customHeight="1">
      <c r="A21" s="479" t="s">
        <v>184</v>
      </c>
      <c r="B21" s="480"/>
      <c r="C21" s="481"/>
      <c r="D21" s="64" t="s">
        <v>252</v>
      </c>
      <c r="E21" s="472">
        <f>ROUND(E17*$E$20,0)</f>
        <v>103</v>
      </c>
      <c r="F21" s="473"/>
      <c r="G21" s="114">
        <f>ROUND(G17*$G$20,0)</f>
        <v>0</v>
      </c>
      <c r="H21" s="472">
        <f>ROUND(H17*$H$20,0)</f>
        <v>36</v>
      </c>
      <c r="I21" s="473"/>
      <c r="J21" s="114">
        <f>ROUND(J17*$J$20,0)</f>
        <v>0</v>
      </c>
      <c r="K21" s="472">
        <f>ROUND(K17*$K$20,0)</f>
        <v>129</v>
      </c>
      <c r="L21" s="473"/>
      <c r="M21" s="114">
        <f>ROUND(M17*$M$20,0)</f>
        <v>0</v>
      </c>
      <c r="N21" s="472">
        <f>ROUND(N17*$N$20,0)</f>
        <v>48</v>
      </c>
      <c r="O21" s="473"/>
      <c r="P21" s="119">
        <f>ROUND(P17*$P$20,0)</f>
        <v>0</v>
      </c>
      <c r="Q21" s="195" t="s">
        <v>284</v>
      </c>
    </row>
    <row r="22" spans="1:21" ht="18">
      <c r="A22" s="482"/>
      <c r="B22" s="483"/>
      <c r="C22" s="484"/>
      <c r="D22" s="64" t="s">
        <v>251</v>
      </c>
      <c r="E22" s="472">
        <f t="shared" ref="E22" si="0">ROUND(E18*$E$20,0)</f>
        <v>183</v>
      </c>
      <c r="F22" s="473"/>
      <c r="G22" s="114">
        <f t="shared" ref="G22:G23" si="1">ROUND(G18*$G$20,0)</f>
        <v>137</v>
      </c>
      <c r="H22" s="472">
        <f t="shared" ref="H22" si="2">ROUND(H18*$H$20,0)</f>
        <v>116</v>
      </c>
      <c r="I22" s="473"/>
      <c r="J22" s="114">
        <f t="shared" ref="J22:J23" si="3">ROUND(J18*$J$20,0)</f>
        <v>114</v>
      </c>
      <c r="K22" s="472">
        <f t="shared" ref="K22" si="4">ROUND(K18*$K$20,0)</f>
        <v>48</v>
      </c>
      <c r="L22" s="473"/>
      <c r="M22" s="114">
        <f t="shared" ref="M22:M23" si="5">ROUND(M18*$M$20,0)</f>
        <v>0</v>
      </c>
      <c r="N22" s="472">
        <f t="shared" ref="N22" si="6">ROUND(N18*$N$20,0)</f>
        <v>49</v>
      </c>
      <c r="O22" s="473"/>
      <c r="P22" s="119">
        <f t="shared" ref="P22:P23" si="7">ROUND(P18*$P$20,0)</f>
        <v>0</v>
      </c>
      <c r="Q22" s="195" t="s">
        <v>284</v>
      </c>
    </row>
    <row r="23" spans="1:21" ht="18.75" thickBot="1">
      <c r="A23" s="485"/>
      <c r="B23" s="486"/>
      <c r="C23" s="487"/>
      <c r="D23" s="64" t="s">
        <v>250</v>
      </c>
      <c r="E23" s="266">
        <f t="shared" ref="E23" si="8">ROUND(E19*$E$20,0)</f>
        <v>0</v>
      </c>
      <c r="F23" s="267"/>
      <c r="G23" s="160">
        <f t="shared" si="1"/>
        <v>148</v>
      </c>
      <c r="H23" s="266">
        <f t="shared" ref="H23" si="9">ROUND(H19*$H$20,0)</f>
        <v>0</v>
      </c>
      <c r="I23" s="267"/>
      <c r="J23" s="160">
        <f t="shared" si="3"/>
        <v>38</v>
      </c>
      <c r="K23" s="266">
        <f t="shared" ref="K23" si="10">ROUND(K19*$K$20,0)</f>
        <v>0</v>
      </c>
      <c r="L23" s="267"/>
      <c r="M23" s="160">
        <f t="shared" si="5"/>
        <v>16</v>
      </c>
      <c r="N23" s="266">
        <f t="shared" ref="N23" si="11">ROUND(N19*$N$20,0)</f>
        <v>0</v>
      </c>
      <c r="O23" s="267"/>
      <c r="P23" s="171">
        <f t="shared" si="7"/>
        <v>59</v>
      </c>
      <c r="Q23" s="194" t="s">
        <v>284</v>
      </c>
    </row>
    <row r="24" spans="1:21" ht="18.75" thickBot="1">
      <c r="A24" s="299" t="s">
        <v>98</v>
      </c>
      <c r="B24" s="300"/>
      <c r="C24" s="466"/>
      <c r="D24" s="65" t="s">
        <v>253</v>
      </c>
      <c r="E24" s="299">
        <f>B1L+D1.W+D1.L</f>
        <v>133</v>
      </c>
      <c r="F24" s="466"/>
      <c r="G24" s="117">
        <f>B1L+D1.W</f>
        <v>85</v>
      </c>
      <c r="H24" s="299">
        <f>A1L+C1.W+C1.L</f>
        <v>280</v>
      </c>
      <c r="I24" s="466"/>
      <c r="J24" s="117">
        <f>A1L+C1.W</f>
        <v>151</v>
      </c>
      <c r="K24" s="299">
        <f>A1W+A1L+D1.L+A2W</f>
        <v>471</v>
      </c>
      <c r="L24" s="466"/>
      <c r="M24" s="117">
        <f>A2W</f>
        <v>137</v>
      </c>
      <c r="N24" s="299">
        <f>B1W+B1L+C1.L+B2W</f>
        <v>395</v>
      </c>
      <c r="O24" s="466"/>
      <c r="P24" s="79">
        <f>B2W</f>
        <v>114</v>
      </c>
      <c r="Q24" s="190" t="s">
        <v>284</v>
      </c>
    </row>
    <row r="25" spans="1:21" ht="18">
      <c r="A25" s="395" t="s">
        <v>97</v>
      </c>
      <c r="B25" s="396"/>
      <c r="C25" s="431"/>
      <c r="D25" s="40" t="s">
        <v>254</v>
      </c>
      <c r="E25" s="395">
        <v>54</v>
      </c>
      <c r="F25" s="396"/>
      <c r="G25" s="396"/>
      <c r="H25" s="396"/>
      <c r="I25" s="396"/>
      <c r="J25" s="396"/>
      <c r="K25" s="396"/>
      <c r="L25" s="396"/>
      <c r="M25" s="396"/>
      <c r="N25" s="396"/>
      <c r="O25" s="396"/>
      <c r="P25" s="407"/>
      <c r="Q25" s="191" t="s">
        <v>287</v>
      </c>
      <c r="U25" s="9"/>
    </row>
    <row r="26" spans="1:21">
      <c r="A26" s="343" t="s">
        <v>188</v>
      </c>
      <c r="B26" s="338"/>
      <c r="C26" s="339"/>
      <c r="D26" s="13" t="s">
        <v>157</v>
      </c>
      <c r="E26" s="343" t="s">
        <v>187</v>
      </c>
      <c r="F26" s="339"/>
      <c r="G26" s="37" t="s">
        <v>186</v>
      </c>
      <c r="H26" s="343" t="s">
        <v>187</v>
      </c>
      <c r="I26" s="339"/>
      <c r="J26" s="37" t="s">
        <v>186</v>
      </c>
      <c r="K26" s="343" t="s">
        <v>189</v>
      </c>
      <c r="L26" s="339"/>
      <c r="M26" s="37" t="s">
        <v>186</v>
      </c>
      <c r="N26" s="343" t="s">
        <v>189</v>
      </c>
      <c r="O26" s="339"/>
      <c r="P26" s="172" t="s">
        <v>186</v>
      </c>
      <c r="Q26" s="195"/>
      <c r="U26" s="9"/>
    </row>
    <row r="27" spans="1:21" ht="18">
      <c r="A27" s="343" t="s">
        <v>75</v>
      </c>
      <c r="B27" s="338"/>
      <c r="C27" s="339"/>
      <c r="D27" s="13" t="s">
        <v>207</v>
      </c>
      <c r="E27" s="343">
        <v>4.5</v>
      </c>
      <c r="F27" s="339"/>
      <c r="G27" s="37">
        <v>4.7</v>
      </c>
      <c r="H27" s="343">
        <v>4.5</v>
      </c>
      <c r="I27" s="339"/>
      <c r="J27" s="37">
        <v>4.7</v>
      </c>
      <c r="K27" s="343">
        <v>4.0999999999999996</v>
      </c>
      <c r="L27" s="339"/>
      <c r="M27" s="37">
        <v>4.8</v>
      </c>
      <c r="N27" s="343">
        <v>4.0999999999999996</v>
      </c>
      <c r="O27" s="339"/>
      <c r="P27" s="172">
        <v>4.8</v>
      </c>
      <c r="Q27" s="195" t="s">
        <v>288</v>
      </c>
    </row>
    <row r="28" spans="1:21" ht="18">
      <c r="A28" s="343" t="s">
        <v>76</v>
      </c>
      <c r="B28" s="338"/>
      <c r="C28" s="339"/>
      <c r="D28" s="11" t="s">
        <v>208</v>
      </c>
      <c r="E28" s="343">
        <v>2.7</v>
      </c>
      <c r="F28" s="339"/>
      <c r="G28" s="139">
        <v>2.8</v>
      </c>
      <c r="H28" s="343">
        <v>2.7</v>
      </c>
      <c r="I28" s="339"/>
      <c r="J28" s="139">
        <v>2.8</v>
      </c>
      <c r="K28" s="343">
        <v>3.3</v>
      </c>
      <c r="L28" s="339"/>
      <c r="M28" s="139">
        <v>2.9</v>
      </c>
      <c r="N28" s="343">
        <v>3.3</v>
      </c>
      <c r="O28" s="339"/>
      <c r="P28" s="138">
        <v>2.9</v>
      </c>
      <c r="Q28" s="195" t="s">
        <v>288</v>
      </c>
      <c r="U28" s="72"/>
    </row>
    <row r="29" spans="1:21" ht="18.75" thickBot="1">
      <c r="A29" s="264" t="s">
        <v>190</v>
      </c>
      <c r="B29" s="290"/>
      <c r="C29" s="385"/>
      <c r="D29" s="12" t="s">
        <v>256</v>
      </c>
      <c r="E29" s="264">
        <f>ROUND((E24*EXP(-0.95*((E24*E27)/3600)))/(1-EXP(-1.1*((E24*E28)/3600))),0)</f>
        <v>1093</v>
      </c>
      <c r="F29" s="385"/>
      <c r="G29" s="27">
        <f>ROUND(0.5*(1.25*G24*EXP(-0.95*((G24*G27)/3600)))/(1-EXP(-1.13*((G24*G28)/3600))),0)</f>
        <v>664</v>
      </c>
      <c r="H29" s="264">
        <f>ROUND((H24*EXP(-0.95*((H24*H27)/3600)))/(1-EXP(-1.1*((H24*H28)/3600))),0)</f>
        <v>974</v>
      </c>
      <c r="I29" s="385"/>
      <c r="J29" s="27">
        <f>ROUND(0.5*(1.25*J24*EXP(-0.95*((J24*J27)/3600)))/(1-EXP(-1.13*((J24*J28)/3600))),0)</f>
        <v>630</v>
      </c>
      <c r="K29" s="264">
        <f>ROUND(0.5*(K24*EXP(-0.85*((K24*K27)/3600)))/(1-EXP(-0.5*((K24*K28)/3600))),0)</f>
        <v>769</v>
      </c>
      <c r="L29" s="385"/>
      <c r="M29" s="27">
        <f>ROUND(0.5*(1.25*M24*EXP(-0.95*((M24*M27)/3600)))/(1-EXP(-1.13*((M24*M28)/3600))),0)</f>
        <v>614</v>
      </c>
      <c r="N29" s="264">
        <f>ROUND(0.5*(N24*EXP(-0.85*((N24*N27)/3600)))/(1-EXP(-0.5*((N24*N28)/3600))),0)</f>
        <v>814</v>
      </c>
      <c r="O29" s="385"/>
      <c r="P29" s="149">
        <f>ROUND(0.5*(1.25*P24*EXP(-0.95*((P24*P27)/3600)))/(1-EXP(-1.13*((P24*P28)/3600))),0)</f>
        <v>626</v>
      </c>
      <c r="Q29" s="195" t="s">
        <v>284</v>
      </c>
    </row>
    <row r="30" spans="1:21" ht="18">
      <c r="A30" s="395" t="s">
        <v>78</v>
      </c>
      <c r="B30" s="396"/>
      <c r="C30" s="431"/>
      <c r="D30" s="11" t="s">
        <v>209</v>
      </c>
      <c r="E30" s="395">
        <f>ROUND(1/(1+E14*(2-1)),2)</f>
        <v>0.93</v>
      </c>
      <c r="F30" s="396"/>
      <c r="G30" s="407"/>
      <c r="H30" s="395">
        <f>ROUND(1/(1+H14*(2-1)),2)</f>
        <v>0.93</v>
      </c>
      <c r="I30" s="396"/>
      <c r="J30" s="407"/>
      <c r="K30" s="395">
        <f>ROUND(1/(1+K14*(2-1)),2)</f>
        <v>0.92</v>
      </c>
      <c r="L30" s="396"/>
      <c r="M30" s="407"/>
      <c r="N30" s="395">
        <f>ROUND(1/(1+N14*(2-1)),2)</f>
        <v>0.95</v>
      </c>
      <c r="O30" s="396"/>
      <c r="P30" s="407"/>
      <c r="Q30" s="195" t="s">
        <v>286</v>
      </c>
    </row>
    <row r="31" spans="1:21" ht="18.75" thickBot="1">
      <c r="A31" s="497" t="s">
        <v>99</v>
      </c>
      <c r="B31" s="498"/>
      <c r="C31" s="499"/>
      <c r="D31" s="20" t="s">
        <v>257</v>
      </c>
      <c r="E31" s="497">
        <f>ROUND(E29*E30,0)</f>
        <v>1016</v>
      </c>
      <c r="F31" s="499"/>
      <c r="G31" s="76">
        <f>ROUND(G29*E30,0)</f>
        <v>618</v>
      </c>
      <c r="H31" s="497">
        <f>ROUND(H29*H30,0)</f>
        <v>906</v>
      </c>
      <c r="I31" s="499"/>
      <c r="J31" s="76">
        <f>ROUND(J29*H30,0)</f>
        <v>586</v>
      </c>
      <c r="K31" s="497">
        <f>ROUND(K29*K30,0)</f>
        <v>707</v>
      </c>
      <c r="L31" s="499"/>
      <c r="M31" s="76">
        <f>ROUND(M29*K30,0)</f>
        <v>565</v>
      </c>
      <c r="N31" s="497">
        <f>ROUND(N29*N30,0)</f>
        <v>773</v>
      </c>
      <c r="O31" s="499"/>
      <c r="P31" s="167">
        <f>ROUND(P29*N30,0)</f>
        <v>595</v>
      </c>
      <c r="Q31" s="195" t="s">
        <v>284</v>
      </c>
    </row>
    <row r="32" spans="1:21" ht="19.5" thickBot="1">
      <c r="A32" s="299" t="s">
        <v>90</v>
      </c>
      <c r="B32" s="300"/>
      <c r="C32" s="466"/>
      <c r="D32" s="28" t="s">
        <v>258</v>
      </c>
      <c r="E32" s="464">
        <f>ROUND(E20/E31,2)</f>
        <v>0.28000000000000003</v>
      </c>
      <c r="F32" s="465"/>
      <c r="G32" s="103">
        <f>ROUND(G20/G31,2)</f>
        <v>0.46</v>
      </c>
      <c r="H32" s="464">
        <f>ROUND(H20/H31,2)</f>
        <v>0.17</v>
      </c>
      <c r="I32" s="465"/>
      <c r="J32" s="103">
        <f>ROUND(J20/J31,2)</f>
        <v>0.26</v>
      </c>
      <c r="K32" s="464">
        <f>ROUND(K20/K31,2)</f>
        <v>0.25</v>
      </c>
      <c r="L32" s="465"/>
      <c r="M32" s="103">
        <f>ROUND(M20/M31,2)</f>
        <v>0.03</v>
      </c>
      <c r="N32" s="464">
        <f>ROUND(N20/N31,2)</f>
        <v>0.13</v>
      </c>
      <c r="O32" s="465"/>
      <c r="P32" s="129">
        <f>ROUND(P20/P31,2)</f>
        <v>0.1</v>
      </c>
      <c r="Q32" s="194" t="s">
        <v>286</v>
      </c>
    </row>
    <row r="33" spans="1:17" ht="15.75" thickBot="1"/>
    <row r="34" spans="1:17" ht="15.75" thickBot="1">
      <c r="A34" s="344" t="s">
        <v>198</v>
      </c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256"/>
    </row>
    <row r="35" spans="1:17" ht="15.75" thickBot="1">
      <c r="A35" s="299" t="s">
        <v>52</v>
      </c>
      <c r="B35" s="300"/>
      <c r="C35" s="466"/>
      <c r="D35" s="10" t="s">
        <v>156</v>
      </c>
      <c r="E35" s="345" t="s">
        <v>14</v>
      </c>
      <c r="F35" s="345"/>
      <c r="G35" s="256"/>
      <c r="H35" s="344" t="s">
        <v>56</v>
      </c>
      <c r="I35" s="345"/>
      <c r="J35" s="256"/>
      <c r="K35" s="344" t="s">
        <v>42</v>
      </c>
      <c r="L35" s="345"/>
      <c r="M35" s="256"/>
      <c r="N35" s="344" t="s">
        <v>57</v>
      </c>
      <c r="O35" s="345"/>
      <c r="P35" s="256"/>
      <c r="Q35" s="346" t="s">
        <v>285</v>
      </c>
    </row>
    <row r="36" spans="1:17" ht="15.75" thickBot="1">
      <c r="A36" s="299" t="s">
        <v>147</v>
      </c>
      <c r="B36" s="300"/>
      <c r="C36" s="466"/>
      <c r="D36" s="65" t="s">
        <v>154</v>
      </c>
      <c r="E36" s="344" t="s">
        <v>180</v>
      </c>
      <c r="F36" s="313"/>
      <c r="G36" s="148" t="s">
        <v>181</v>
      </c>
      <c r="H36" s="344" t="s">
        <v>148</v>
      </c>
      <c r="I36" s="313"/>
      <c r="J36" s="148" t="s">
        <v>149</v>
      </c>
      <c r="K36" s="344" t="s">
        <v>182</v>
      </c>
      <c r="L36" s="313"/>
      <c r="M36" s="131" t="s">
        <v>43</v>
      </c>
      <c r="N36" s="344" t="s">
        <v>183</v>
      </c>
      <c r="O36" s="313"/>
      <c r="P36" s="131" t="s">
        <v>69</v>
      </c>
      <c r="Q36" s="415"/>
    </row>
    <row r="37" spans="1:17" ht="18.75" thickBot="1">
      <c r="A37" s="299" t="s">
        <v>70</v>
      </c>
      <c r="B37" s="300"/>
      <c r="C37" s="466"/>
      <c r="D37" s="33" t="s">
        <v>204</v>
      </c>
      <c r="E37" s="500">
        <f>E14</f>
        <v>7.2999999999999995E-2</v>
      </c>
      <c r="F37" s="501"/>
      <c r="G37" s="502"/>
      <c r="H37" s="500">
        <f>H14</f>
        <v>0.08</v>
      </c>
      <c r="I37" s="501"/>
      <c r="J37" s="502"/>
      <c r="K37" s="500">
        <f>K14</f>
        <v>8.5000000000000006E-2</v>
      </c>
      <c r="L37" s="501"/>
      <c r="M37" s="502"/>
      <c r="N37" s="500">
        <f>N14</f>
        <v>5.1999999999999998E-2</v>
      </c>
      <c r="O37" s="501"/>
      <c r="P37" s="502"/>
      <c r="Q37" s="180" t="s">
        <v>286</v>
      </c>
    </row>
    <row r="38" spans="1:17" ht="18">
      <c r="A38" s="353" t="s">
        <v>275</v>
      </c>
      <c r="B38" s="354"/>
      <c r="C38" s="493"/>
      <c r="D38" s="94" t="s">
        <v>274</v>
      </c>
      <c r="E38" s="353">
        <v>2502</v>
      </c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5"/>
      <c r="Q38" s="181" t="s">
        <v>284</v>
      </c>
    </row>
    <row r="39" spans="1:17" ht="18">
      <c r="A39" s="343" t="s">
        <v>192</v>
      </c>
      <c r="B39" s="338"/>
      <c r="C39" s="339"/>
      <c r="D39" s="112" t="s">
        <v>217</v>
      </c>
      <c r="E39" s="474">
        <f>ROUND(E20/SUM($E$13:$P$13),2)</f>
        <v>0.23</v>
      </c>
      <c r="F39" s="475"/>
      <c r="G39" s="157">
        <f>ROUND(G20/SUM($E$13:$P$13),2)</f>
        <v>0.23</v>
      </c>
      <c r="H39" s="474">
        <f>ROUND(H20/SUM($E$13:$P$13),2)</f>
        <v>0.12</v>
      </c>
      <c r="I39" s="475"/>
      <c r="J39" s="157">
        <f>ROUND(J20/SUM($E$13:$P$13),2)</f>
        <v>0.12</v>
      </c>
      <c r="K39" s="474">
        <f>ROUND(K20/SUM($E$13:$P$13),2)</f>
        <v>0.14000000000000001</v>
      </c>
      <c r="L39" s="475"/>
      <c r="M39" s="157">
        <f>ROUND(M20/SUM($E$13:$P$13),2)</f>
        <v>0.01</v>
      </c>
      <c r="N39" s="474">
        <f>ROUND(N20/SUM($E$13:$P$13),2)</f>
        <v>0.08</v>
      </c>
      <c r="O39" s="475"/>
      <c r="P39" s="157">
        <f>ROUND(P20/SUM($E$13:$P$13),2)</f>
        <v>0.05</v>
      </c>
      <c r="Q39" s="182" t="s">
        <v>286</v>
      </c>
    </row>
    <row r="40" spans="1:17" ht="18">
      <c r="A40" s="343" t="s">
        <v>277</v>
      </c>
      <c r="B40" s="338"/>
      <c r="C40" s="339"/>
      <c r="D40" s="118" t="s">
        <v>259</v>
      </c>
      <c r="E40" s="472">
        <f>ROUND(E39*$E$38,0)</f>
        <v>575</v>
      </c>
      <c r="F40" s="473"/>
      <c r="G40" s="119">
        <f>ROUND(G39*$E$38,0)</f>
        <v>575</v>
      </c>
      <c r="H40" s="472">
        <f>ROUND(H39*$E$38,0)</f>
        <v>300</v>
      </c>
      <c r="I40" s="473"/>
      <c r="J40" s="119">
        <f>ROUND(J39*$E$38,0)</f>
        <v>300</v>
      </c>
      <c r="K40" s="472">
        <f>ROUND(K39*$E$38,0)</f>
        <v>350</v>
      </c>
      <c r="L40" s="473"/>
      <c r="M40" s="119">
        <f>ROUND(M39*$E$38,0)</f>
        <v>25</v>
      </c>
      <c r="N40" s="472">
        <f>ROUND(N39*$E$38,0)</f>
        <v>200</v>
      </c>
      <c r="O40" s="473"/>
      <c r="P40" s="119">
        <f>ROUND(P39*$E$38,0)</f>
        <v>125</v>
      </c>
      <c r="Q40" s="182" t="s">
        <v>284</v>
      </c>
    </row>
    <row r="41" spans="1:17" ht="18" customHeight="1">
      <c r="A41" s="503" t="s">
        <v>276</v>
      </c>
      <c r="B41" s="480"/>
      <c r="C41" s="481"/>
      <c r="D41" s="64" t="s">
        <v>260</v>
      </c>
      <c r="E41" s="472">
        <f>ROUND(E17*$E$40,0)</f>
        <v>207</v>
      </c>
      <c r="F41" s="473"/>
      <c r="G41" s="114">
        <f>ROUND(G17*$G$40,0)</f>
        <v>0</v>
      </c>
      <c r="H41" s="472">
        <f>ROUND(H17*$H$40,0)</f>
        <v>72</v>
      </c>
      <c r="I41" s="473"/>
      <c r="J41" s="114">
        <f>ROUND(J17*$J$40,0)</f>
        <v>0</v>
      </c>
      <c r="K41" s="472">
        <f>ROUND(K17*$K$40,0)</f>
        <v>256</v>
      </c>
      <c r="L41" s="473"/>
      <c r="M41" s="114">
        <f>ROUND(M17*$M$40,0)</f>
        <v>0</v>
      </c>
      <c r="N41" s="472">
        <f>ROUND(N17*$N$40,0)</f>
        <v>98</v>
      </c>
      <c r="O41" s="473"/>
      <c r="P41" s="119">
        <f>ROUND(P17*$P$40,0)</f>
        <v>0</v>
      </c>
      <c r="Q41" s="182" t="s">
        <v>284</v>
      </c>
    </row>
    <row r="42" spans="1:17" ht="18">
      <c r="A42" s="504"/>
      <c r="B42" s="483"/>
      <c r="C42" s="484"/>
      <c r="D42" s="64" t="s">
        <v>261</v>
      </c>
      <c r="E42" s="472">
        <f>ROUND(E18*$E$40,0)</f>
        <v>368</v>
      </c>
      <c r="F42" s="473"/>
      <c r="G42" s="114">
        <f>ROUND(G18*$G$40,0)</f>
        <v>276</v>
      </c>
      <c r="H42" s="472">
        <f>ROUND(H18*$H$40,0)</f>
        <v>228</v>
      </c>
      <c r="I42" s="473"/>
      <c r="J42" s="114">
        <f>ROUND(J18*$J$40,0)</f>
        <v>225</v>
      </c>
      <c r="K42" s="472">
        <f>ROUND(K18*$K$40,0)</f>
        <v>95</v>
      </c>
      <c r="L42" s="473"/>
      <c r="M42" s="114">
        <f>ROUND(M18*$M$40,0)</f>
        <v>0</v>
      </c>
      <c r="N42" s="472">
        <f>ROUND(N18*$N$40,0)</f>
        <v>102</v>
      </c>
      <c r="O42" s="473"/>
      <c r="P42" s="119">
        <f>ROUND(P18*$P$40,0)</f>
        <v>0</v>
      </c>
      <c r="Q42" s="182" t="s">
        <v>284</v>
      </c>
    </row>
    <row r="43" spans="1:17" ht="18.75" thickBot="1">
      <c r="A43" s="505"/>
      <c r="B43" s="486"/>
      <c r="C43" s="487"/>
      <c r="D43" s="90" t="s">
        <v>262</v>
      </c>
      <c r="E43" s="266">
        <f>ROUND(E19*$E$40,0)</f>
        <v>0</v>
      </c>
      <c r="F43" s="267"/>
      <c r="G43" s="160">
        <f>ROUND(G19*$G$40,0)</f>
        <v>299</v>
      </c>
      <c r="H43" s="266">
        <f>ROUND(H19*$H$40,0)</f>
        <v>0</v>
      </c>
      <c r="I43" s="267"/>
      <c r="J43" s="160">
        <f>ROUND(J19*$J$40,0)</f>
        <v>75</v>
      </c>
      <c r="K43" s="266">
        <f>ROUND(K19*$K$40,0)</f>
        <v>0</v>
      </c>
      <c r="L43" s="267"/>
      <c r="M43" s="160">
        <f>ROUND(M19*$M$40,0)</f>
        <v>25</v>
      </c>
      <c r="N43" s="266">
        <f>ROUND(N19*$N$40,0)</f>
        <v>0</v>
      </c>
      <c r="O43" s="267"/>
      <c r="P43" s="171">
        <f>ROUND(P19*$P$40,0)</f>
        <v>125</v>
      </c>
      <c r="Q43" s="183" t="s">
        <v>284</v>
      </c>
    </row>
    <row r="44" spans="1:17" ht="18.75" thickBot="1">
      <c r="A44" s="299" t="s">
        <v>278</v>
      </c>
      <c r="B44" s="300"/>
      <c r="C44" s="466"/>
      <c r="D44" s="33" t="s">
        <v>269</v>
      </c>
      <c r="E44" s="299">
        <f>B1LI+D1.WI+D1.LI</f>
        <v>272</v>
      </c>
      <c r="F44" s="466"/>
      <c r="G44" s="117">
        <f>B1LI+D1.WI</f>
        <v>174</v>
      </c>
      <c r="H44" s="299">
        <f>A1LI+C1.WI+C1.LI</f>
        <v>558</v>
      </c>
      <c r="I44" s="466"/>
      <c r="J44" s="117">
        <f>A1LI+C1.WI</f>
        <v>302</v>
      </c>
      <c r="K44" s="299">
        <f>A1WI+A1LI+D1.LI+A2WI</f>
        <v>949</v>
      </c>
      <c r="L44" s="466"/>
      <c r="M44" s="117">
        <f>A2WI</f>
        <v>276</v>
      </c>
      <c r="N44" s="299">
        <f>B1WI+B1LI+C1.LI+B2WI</f>
        <v>781</v>
      </c>
      <c r="O44" s="466"/>
      <c r="P44" s="79">
        <f>B2WI</f>
        <v>225</v>
      </c>
      <c r="Q44" s="184" t="s">
        <v>284</v>
      </c>
    </row>
    <row r="45" spans="1:17" ht="18">
      <c r="A45" s="395" t="s">
        <v>75</v>
      </c>
      <c r="B45" s="396"/>
      <c r="C45" s="431"/>
      <c r="D45" s="10" t="s">
        <v>207</v>
      </c>
      <c r="E45" s="395">
        <v>4.5</v>
      </c>
      <c r="F45" s="431"/>
      <c r="G45" s="37">
        <v>4.7</v>
      </c>
      <c r="H45" s="395">
        <v>4.5</v>
      </c>
      <c r="I45" s="431"/>
      <c r="J45" s="37">
        <v>4.7</v>
      </c>
      <c r="K45" s="395">
        <v>4.0999999999999996</v>
      </c>
      <c r="L45" s="431"/>
      <c r="M45" s="37">
        <v>4.8</v>
      </c>
      <c r="N45" s="395">
        <v>4.0999999999999996</v>
      </c>
      <c r="O45" s="431"/>
      <c r="P45" s="172">
        <v>4.8</v>
      </c>
      <c r="Q45" s="185" t="s">
        <v>288</v>
      </c>
    </row>
    <row r="46" spans="1:17" ht="18">
      <c r="A46" s="343" t="s">
        <v>76</v>
      </c>
      <c r="B46" s="338"/>
      <c r="C46" s="339"/>
      <c r="D46" s="11" t="s">
        <v>208</v>
      </c>
      <c r="E46" s="343">
        <v>2.7</v>
      </c>
      <c r="F46" s="339"/>
      <c r="G46" s="139">
        <v>2.8</v>
      </c>
      <c r="H46" s="343">
        <v>2.7</v>
      </c>
      <c r="I46" s="339"/>
      <c r="J46" s="139">
        <v>2.8</v>
      </c>
      <c r="K46" s="343">
        <v>3.3</v>
      </c>
      <c r="L46" s="339"/>
      <c r="M46" s="139">
        <v>2.9</v>
      </c>
      <c r="N46" s="343">
        <v>3.3</v>
      </c>
      <c r="O46" s="339"/>
      <c r="P46" s="138">
        <v>2.9</v>
      </c>
      <c r="Q46" s="182" t="s">
        <v>288</v>
      </c>
    </row>
    <row r="47" spans="1:17" ht="18.75" thickBot="1">
      <c r="A47" s="264" t="s">
        <v>77</v>
      </c>
      <c r="B47" s="290"/>
      <c r="C47" s="385"/>
      <c r="D47" s="12" t="s">
        <v>270</v>
      </c>
      <c r="E47" s="264">
        <f>ROUND((E44*EXP(-0.95*((E44*E45)/3600)))/(1-EXP(-1.1*((E44*E46)/3600))),0)</f>
        <v>980</v>
      </c>
      <c r="F47" s="385"/>
      <c r="G47" s="27">
        <f>ROUND(0.5*(1.25*G44*EXP(-0.95*((G44*G45)/3600)))/(1-EXP(-1.13*((G44*G46)/3600))),0)</f>
        <v>618</v>
      </c>
      <c r="H47" s="264">
        <f>ROUND((H44*EXP(-0.95*((H44*H45)/3600)))/(1-EXP(-1.1*((H44*H46)/3600))),0)</f>
        <v>780</v>
      </c>
      <c r="I47" s="385"/>
      <c r="J47" s="27">
        <f>ROUND(0.5*(1.25*J44*EXP(-0.95*((J44*J45)/3600)))/(1-EXP(-1.13*((J44*J46)/3600))),0)</f>
        <v>557</v>
      </c>
      <c r="K47" s="264">
        <f>ROUND(0.5*(K44*EXP(-0.85*((K44*K45)/3600)))/(1-EXP(-0.5*((K44*K46)/3600))),0)</f>
        <v>537</v>
      </c>
      <c r="L47" s="385"/>
      <c r="M47" s="27">
        <f>ROUND(0.5*(1.25*M44*EXP(-0.95*((M44*M45)/3600)))/(1-EXP(-1.13*((M44*M46)/3600))),0)</f>
        <v>547</v>
      </c>
      <c r="N47" s="264">
        <f>ROUND(0.5*(N44*EXP(-0.85*((N44*N45)/3600)))/(1-EXP(-0.5*((N44*N46)/3600))),0)</f>
        <v>609</v>
      </c>
      <c r="O47" s="385"/>
      <c r="P47" s="149">
        <f>ROUND(0.5*(1.25*P44*EXP(-0.95*((P44*P45)/3600)))/(1-EXP(-1.13*((P44*P46)/3600))),0)</f>
        <v>571</v>
      </c>
      <c r="Q47" s="183" t="s">
        <v>284</v>
      </c>
    </row>
    <row r="48" spans="1:17" ht="18">
      <c r="A48" s="395" t="s">
        <v>78</v>
      </c>
      <c r="B48" s="396"/>
      <c r="C48" s="431"/>
      <c r="D48" s="11" t="s">
        <v>209</v>
      </c>
      <c r="E48" s="395">
        <f>ROUND(1/(1+E37*(2-1)),2)</f>
        <v>0.93</v>
      </c>
      <c r="F48" s="396"/>
      <c r="G48" s="407"/>
      <c r="H48" s="395">
        <f>ROUND(1/(1+H37*(2-1)),2)</f>
        <v>0.93</v>
      </c>
      <c r="I48" s="396"/>
      <c r="J48" s="407"/>
      <c r="K48" s="395">
        <f>ROUND(1/(1+K37*(2-1)),2)</f>
        <v>0.92</v>
      </c>
      <c r="L48" s="396"/>
      <c r="M48" s="407"/>
      <c r="N48" s="395">
        <f>ROUND(1/(1+N37*(2-1)),2)</f>
        <v>0.95</v>
      </c>
      <c r="O48" s="396"/>
      <c r="P48" s="407"/>
      <c r="Q48" s="181" t="s">
        <v>286</v>
      </c>
    </row>
    <row r="49" spans="1:17" ht="18.75" thickBot="1">
      <c r="A49" s="497" t="s">
        <v>281</v>
      </c>
      <c r="B49" s="498"/>
      <c r="C49" s="499"/>
      <c r="D49" s="20" t="s">
        <v>271</v>
      </c>
      <c r="E49" s="497">
        <f>ROUND(E47*E48,0)</f>
        <v>911</v>
      </c>
      <c r="F49" s="499"/>
      <c r="G49" s="76">
        <f>ROUND(G47*E48,0)</f>
        <v>575</v>
      </c>
      <c r="H49" s="497">
        <f>ROUND(H47*H48,0)</f>
        <v>725</v>
      </c>
      <c r="I49" s="499"/>
      <c r="J49" s="76">
        <f>ROUND(J47*H48,0)</f>
        <v>518</v>
      </c>
      <c r="K49" s="497">
        <f>ROUND(K47*K48,0)</f>
        <v>494</v>
      </c>
      <c r="L49" s="499"/>
      <c r="M49" s="76">
        <f>ROUND(M47*K48,0)</f>
        <v>503</v>
      </c>
      <c r="N49" s="497">
        <f>ROUND(N47*N48,0)</f>
        <v>579</v>
      </c>
      <c r="O49" s="499"/>
      <c r="P49" s="167">
        <f>ROUND(P47*N48,0)</f>
        <v>542</v>
      </c>
      <c r="Q49" s="186" t="s">
        <v>284</v>
      </c>
    </row>
    <row r="50" spans="1:17" ht="18.75" thickBot="1">
      <c r="A50" s="299" t="s">
        <v>282</v>
      </c>
      <c r="B50" s="300"/>
      <c r="C50" s="466"/>
      <c r="D50" s="29" t="s">
        <v>272</v>
      </c>
      <c r="E50" s="464">
        <f>ROUND(E40/E49,2)</f>
        <v>0.63</v>
      </c>
      <c r="F50" s="465"/>
      <c r="G50" s="103">
        <f>ROUND(G40/G49,2)</f>
        <v>1</v>
      </c>
      <c r="H50" s="464">
        <f>ROUND(H40/H49,2)</f>
        <v>0.41</v>
      </c>
      <c r="I50" s="465"/>
      <c r="J50" s="103">
        <f>ROUND(J40/J49,2)</f>
        <v>0.57999999999999996</v>
      </c>
      <c r="K50" s="464">
        <f>ROUND(K40/K49,2)</f>
        <v>0.71</v>
      </c>
      <c r="L50" s="465"/>
      <c r="M50" s="103">
        <f>ROUND(M40/M49,2)</f>
        <v>0.05</v>
      </c>
      <c r="N50" s="464">
        <f>ROUND(N40/N49,2)</f>
        <v>0.35</v>
      </c>
      <c r="O50" s="465"/>
      <c r="P50" s="129">
        <f>ROUND(P40/P49,2)</f>
        <v>0.23</v>
      </c>
      <c r="Q50" s="187" t="s">
        <v>286</v>
      </c>
    </row>
    <row r="51" spans="1:17" ht="18.75" thickBot="1">
      <c r="A51" s="344" t="s">
        <v>100</v>
      </c>
      <c r="B51" s="345"/>
      <c r="C51" s="313"/>
      <c r="D51" s="20" t="s">
        <v>273</v>
      </c>
      <c r="E51" s="344">
        <f>ROUND(MIN(E49/E39,G49/G39,H49/H39,J49/J39,K49/K39,M49/M39,N49/N39,P49/P39),0)</f>
        <v>2500</v>
      </c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256"/>
      <c r="Q51" s="184" t="s">
        <v>284</v>
      </c>
    </row>
    <row r="52" spans="1:17" ht="19.5" thickBot="1">
      <c r="A52" s="299" t="s">
        <v>196</v>
      </c>
      <c r="B52" s="300"/>
      <c r="C52" s="466"/>
      <c r="D52" s="28" t="s">
        <v>283</v>
      </c>
      <c r="E52" s="464">
        <f>ROUND(SUM(E12:P12)/E51,2)</f>
        <v>0.49</v>
      </c>
      <c r="F52" s="467"/>
      <c r="G52" s="467"/>
      <c r="H52" s="467"/>
      <c r="I52" s="467"/>
      <c r="J52" s="467"/>
      <c r="K52" s="467"/>
      <c r="L52" s="467"/>
      <c r="M52" s="467"/>
      <c r="N52" s="467"/>
      <c r="O52" s="467"/>
      <c r="P52" s="468"/>
      <c r="Q52" s="188" t="s">
        <v>286</v>
      </c>
    </row>
    <row r="53" spans="1:17" ht="15.75" thickBot="1"/>
    <row r="54" spans="1:17" ht="15.75" thickBot="1">
      <c r="A54" s="344" t="s">
        <v>179</v>
      </c>
      <c r="B54" s="345"/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  <c r="Q54" s="256"/>
    </row>
    <row r="55" spans="1:17" ht="15.75" thickBot="1">
      <c r="A55" s="469" t="s">
        <v>52</v>
      </c>
      <c r="B55" s="470"/>
      <c r="C55" s="471"/>
      <c r="D55" s="33" t="s">
        <v>156</v>
      </c>
      <c r="E55" s="345" t="str">
        <f>E8</f>
        <v>GEN. SIKORSKIEGO ZACH.</v>
      </c>
      <c r="F55" s="345"/>
      <c r="G55" s="256"/>
      <c r="H55" s="344" t="str">
        <f t="shared" ref="H55" si="12">H8</f>
        <v>GEN. SIKORSKIEGO WSCH.</v>
      </c>
      <c r="I55" s="345"/>
      <c r="J55" s="256"/>
      <c r="K55" s="344" t="str">
        <f t="shared" ref="K55" si="13">K8</f>
        <v>MONIUSZKI PŁD.</v>
      </c>
      <c r="L55" s="345"/>
      <c r="M55" s="256"/>
      <c r="N55" s="344" t="str">
        <f t="shared" ref="N55" si="14">N8</f>
        <v>MONIUSZKI PŁN.</v>
      </c>
      <c r="O55" s="345"/>
      <c r="P55" s="256"/>
      <c r="Q55" s="197" t="s">
        <v>285</v>
      </c>
    </row>
    <row r="56" spans="1:17" ht="18.75" thickBot="1">
      <c r="A56" s="378" t="s">
        <v>158</v>
      </c>
      <c r="B56" s="379"/>
      <c r="C56" s="380"/>
      <c r="D56" s="122" t="s">
        <v>225</v>
      </c>
      <c r="E56" s="299">
        <v>0.25</v>
      </c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301"/>
      <c r="Q56" s="190" t="s">
        <v>289</v>
      </c>
    </row>
    <row r="57" spans="1:17" ht="18">
      <c r="A57" s="395" t="s">
        <v>197</v>
      </c>
      <c r="B57" s="396"/>
      <c r="C57" s="431"/>
      <c r="D57" s="113" t="s">
        <v>216</v>
      </c>
      <c r="E57" s="462">
        <f>E20</f>
        <v>285.5</v>
      </c>
      <c r="F57" s="463"/>
      <c r="G57" s="114">
        <f>G20</f>
        <v>285.5</v>
      </c>
      <c r="H57" s="462">
        <f>H20</f>
        <v>152</v>
      </c>
      <c r="I57" s="463"/>
      <c r="J57" s="114">
        <f>J20</f>
        <v>152</v>
      </c>
      <c r="K57" s="462">
        <f>K20</f>
        <v>177</v>
      </c>
      <c r="L57" s="463"/>
      <c r="M57" s="114">
        <f>M20</f>
        <v>16</v>
      </c>
      <c r="N57" s="462">
        <f>N20</f>
        <v>97</v>
      </c>
      <c r="O57" s="463"/>
      <c r="P57" s="119">
        <f>P20</f>
        <v>59</v>
      </c>
      <c r="Q57" s="191" t="s">
        <v>284</v>
      </c>
    </row>
    <row r="58" spans="1:17" ht="18.75" thickBot="1">
      <c r="A58" s="266" t="s">
        <v>99</v>
      </c>
      <c r="B58" s="265"/>
      <c r="C58" s="267"/>
      <c r="D58" s="12" t="s">
        <v>264</v>
      </c>
      <c r="E58" s="266">
        <f>E31</f>
        <v>1016</v>
      </c>
      <c r="F58" s="267"/>
      <c r="G58" s="160">
        <f>G31</f>
        <v>618</v>
      </c>
      <c r="H58" s="266">
        <f>H31</f>
        <v>906</v>
      </c>
      <c r="I58" s="267"/>
      <c r="J58" s="160">
        <f>J31</f>
        <v>586</v>
      </c>
      <c r="K58" s="266">
        <f>K31</f>
        <v>707</v>
      </c>
      <c r="L58" s="267"/>
      <c r="M58" s="160">
        <f>M31</f>
        <v>565</v>
      </c>
      <c r="N58" s="266">
        <f>N31</f>
        <v>773</v>
      </c>
      <c r="O58" s="267"/>
      <c r="P58" s="178">
        <f>P31</f>
        <v>595</v>
      </c>
      <c r="Q58" s="192" t="s">
        <v>284</v>
      </c>
    </row>
    <row r="59" spans="1:17" ht="19.5" thickBot="1">
      <c r="A59" s="299" t="s">
        <v>90</v>
      </c>
      <c r="B59" s="300"/>
      <c r="C59" s="466"/>
      <c r="D59" s="28" t="s">
        <v>258</v>
      </c>
      <c r="E59" s="464">
        <f>E32</f>
        <v>0.28000000000000003</v>
      </c>
      <c r="F59" s="465"/>
      <c r="G59" s="103">
        <f>G32</f>
        <v>0.46</v>
      </c>
      <c r="H59" s="464">
        <f>H32</f>
        <v>0.17</v>
      </c>
      <c r="I59" s="465"/>
      <c r="J59" s="103">
        <f>J32</f>
        <v>0.26</v>
      </c>
      <c r="K59" s="464">
        <f>K32</f>
        <v>0.25</v>
      </c>
      <c r="L59" s="465"/>
      <c r="M59" s="103">
        <f>M32</f>
        <v>0.03</v>
      </c>
      <c r="N59" s="464">
        <f>N32</f>
        <v>0.13</v>
      </c>
      <c r="O59" s="465"/>
      <c r="P59" s="129">
        <f>P32</f>
        <v>0.1</v>
      </c>
      <c r="Q59" s="190" t="s">
        <v>286</v>
      </c>
    </row>
    <row r="60" spans="1:17" ht="18">
      <c r="A60" s="353" t="s">
        <v>194</v>
      </c>
      <c r="B60" s="354"/>
      <c r="C60" s="493"/>
      <c r="D60" s="120" t="s">
        <v>263</v>
      </c>
      <c r="E60" s="353">
        <f>ROUND(1.12*((3600/E58)+900*$E$56*(((E57/E58)-1)+SQRT((((E57/E58)-1)^2)+((3600/E58)*(E57/E58))/(450*$E$56))))+(0.027/(1-0.99*(E57/E58)))-2.2,1)</f>
        <v>3.4</v>
      </c>
      <c r="F60" s="493"/>
      <c r="G60" s="74">
        <f>ROUND(1.12*((3600/G58)+900*$E$56*(((G57/G58)-1)+SQRT((((G57/G58)-1)^2)+((3600/G58)*(G57/G58))/(450*$E$56))))+(0.027/(1-0.99*(G57/G58)))-2.2,1)</f>
        <v>9.9</v>
      </c>
      <c r="H60" s="353">
        <f>ROUND(1.12*((3600/H58)+900*$E$56*(((H57/H58)-1)+SQRT((((H57/H58)-1)^2)+((3600/H58)*(H57/H58))/(450*$E$56))))+(0.027/(1-0.99*(H57/H58)))-2.2,1)</f>
        <v>3.2</v>
      </c>
      <c r="I60" s="493"/>
      <c r="J60" s="74">
        <f>ROUND(1.12*((3600/J58)+900*$E$56*(((J57/J58)-1)+SQRT((((J57/J58)-1)^2)+((3600/J58)*(J57/J58))/(450*$E$56))))+(0.027/(1-0.99*(J57/J58)))-2.2,1)</f>
        <v>7.1</v>
      </c>
      <c r="K60" s="353">
        <f>ROUND(1.12*((3600/K58)+900*$E$56*(((K57/K58)-1)+SQRT((((K57/K58)-1)^2)+((3600/K58)*(K57/K58))/(450*$E$56))))+(0.027/(1-0.99*(K57/K58)))-2.2,1)</f>
        <v>5.4</v>
      </c>
      <c r="L60" s="493"/>
      <c r="M60" s="74">
        <f>ROUND(1.12*((3600/M58)+900*$E$56*(((M57/M58)-1)+SQRT((((M57/M58)-1)^2)+((3600/M58)*(M57/M58))/(450*$E$56))))+(0.027/(1-0.99*(M57/M58)))-2.2,1)</f>
        <v>5.2</v>
      </c>
      <c r="N60" s="353">
        <f>ROUND(1.12*((3600/N58)+900*$E$56*(((N57/N58)-1)+SQRT((((N57/N58)-1)^2)+((3600/N58)*(N57/N58))/(450*$E$56))))+(0.027/(1-0.99*(N57/N58)))-2.2,1)</f>
        <v>3.8</v>
      </c>
      <c r="O60" s="493"/>
      <c r="P60" s="74">
        <f>ROUND(1.12*((3600/P58)+900*$E$56*(((P57/P58)-1)+SQRT((((P57/P58)-1)^2)+((3600/P58)*(P57/P58))/(450*$E$56))))+(0.027/(1-0.99*(P57/P58)))-2.2,1)</f>
        <v>5.4</v>
      </c>
      <c r="Q60" s="191" t="s">
        <v>288</v>
      </c>
    </row>
    <row r="61" spans="1:17" ht="15.75" thickBot="1">
      <c r="A61" s="264" t="s">
        <v>195</v>
      </c>
      <c r="B61" s="290"/>
      <c r="C61" s="385"/>
      <c r="D61" s="12" t="s">
        <v>157</v>
      </c>
      <c r="E61" s="266" t="str">
        <f>IF(E60&lt;=15,"PSR I",IF(E60&lt;=30,"PSR II", IF(E60&lt;=50,"PSR III","PSR IV")))</f>
        <v>PSR I</v>
      </c>
      <c r="F61" s="267"/>
      <c r="G61" s="151" t="str">
        <f>IF(G60&lt;=15,"PSR I",IF(G60&lt;=30,"PSR II", IF(G60&lt;=50,"PSR III","PSR IV")))</f>
        <v>PSR I</v>
      </c>
      <c r="H61" s="266" t="str">
        <f>IF(H60&lt;=15,"PSR I",IF(H60&lt;=30,"PSR II", IF(H60&lt;=50,"PSR III","PSR IV")))</f>
        <v>PSR I</v>
      </c>
      <c r="I61" s="267"/>
      <c r="J61" s="151" t="str">
        <f>IF(J60&lt;=15,"PSR I",IF(J60&lt;=30,"PSR II", IF(J60&lt;=50,"PSR III","PSR IV")))</f>
        <v>PSR I</v>
      </c>
      <c r="K61" s="266" t="str">
        <f>IF(K60&lt;=15,"PSR I",IF(K60&lt;=30,"PSR II", IF(K60&lt;=50,"PSR III","PSR IV")))</f>
        <v>PSR I</v>
      </c>
      <c r="L61" s="267"/>
      <c r="M61" s="151" t="str">
        <f>IF(M60&lt;=15,"PSR I",IF(M60&lt;=30,"PSR II", IF(M60&lt;=50,"PSR III","PSR IV")))</f>
        <v>PSR I</v>
      </c>
      <c r="N61" s="266" t="str">
        <f>IF(N60&lt;=15,"PSR I",IF(N60&lt;=30,"PSR II", IF(N60&lt;=50,"PSR III","PSR IV")))</f>
        <v>PSR I</v>
      </c>
      <c r="O61" s="267"/>
      <c r="P61" s="150" t="str">
        <f>IF(P60&lt;=15,"PSR I",IF(P60&lt;=30,"PSR II", IF(P60&lt;=50,"PSR III","PSR IV")))</f>
        <v>PSR I</v>
      </c>
      <c r="Q61" s="192"/>
    </row>
    <row r="62" spans="1:17" ht="18">
      <c r="A62" s="353" t="s">
        <v>93</v>
      </c>
      <c r="B62" s="354"/>
      <c r="C62" s="493"/>
      <c r="D62" s="109" t="s">
        <v>227</v>
      </c>
      <c r="E62" s="494">
        <f>ROUND((E60*E57+G60*G57)/E13,1)</f>
        <v>6.7</v>
      </c>
      <c r="F62" s="495"/>
      <c r="G62" s="496"/>
      <c r="H62" s="494">
        <f t="shared" ref="H62" si="15">ROUND((H60*H57+J60*J57)/H13,1)</f>
        <v>5.2</v>
      </c>
      <c r="I62" s="495"/>
      <c r="J62" s="496"/>
      <c r="K62" s="494">
        <f t="shared" ref="K62" si="16">ROUND((K60*K57+M60*M57)/K13,1)</f>
        <v>5.4</v>
      </c>
      <c r="L62" s="495"/>
      <c r="M62" s="496"/>
      <c r="N62" s="494">
        <f t="shared" ref="N62" si="17">ROUND((N60*N57+P60*P57)/N13,1)</f>
        <v>4.4000000000000004</v>
      </c>
      <c r="O62" s="495"/>
      <c r="P62" s="496"/>
      <c r="Q62" s="193" t="s">
        <v>288</v>
      </c>
    </row>
    <row r="63" spans="1:17" ht="15.75" thickBot="1">
      <c r="A63" s="264" t="s">
        <v>101</v>
      </c>
      <c r="B63" s="290"/>
      <c r="C63" s="385"/>
      <c r="D63" s="39" t="s">
        <v>157</v>
      </c>
      <c r="E63" s="264" t="str">
        <f>IF(E62&lt;=15,"PSR I",IF(E62&lt;=30,"PSR II", IF(E62&lt;=50,"PSR III","PSR IV")))</f>
        <v>PSR I</v>
      </c>
      <c r="F63" s="290"/>
      <c r="G63" s="289"/>
      <c r="H63" s="264" t="str">
        <f>IF(H62&lt;=15,"PSR I",IF(H62&lt;=30,"PSR II", IF(H62&lt;=50,"PSR III","PSR IV")))</f>
        <v>PSR I</v>
      </c>
      <c r="I63" s="290"/>
      <c r="J63" s="289"/>
      <c r="K63" s="264" t="str">
        <f>IF(K62&lt;=15,"PSR I",IF(K62&lt;=30,"PSR II", IF(K62&lt;=50,"PSR III","PSR IV")))</f>
        <v>PSR I</v>
      </c>
      <c r="L63" s="290"/>
      <c r="M63" s="289"/>
      <c r="N63" s="264" t="str">
        <f>IF(N62&lt;=15,"PSR I",IF(N62&lt;=30,"PSR II", IF(N62&lt;=50,"PSR III","PSR IV")))</f>
        <v>PSR I</v>
      </c>
      <c r="O63" s="290"/>
      <c r="P63" s="289"/>
      <c r="Q63" s="194"/>
    </row>
    <row r="64" spans="1:17" ht="18">
      <c r="A64" s="353" t="s">
        <v>193</v>
      </c>
      <c r="B64" s="354"/>
      <c r="C64" s="493"/>
      <c r="D64" s="84" t="s">
        <v>228</v>
      </c>
      <c r="E64" s="494">
        <f>ROUND((E62*E13+H62*H13+K62*K13+N62*N13)/SUM(E13:P13),1)</f>
        <v>5.8</v>
      </c>
      <c r="F64" s="495"/>
      <c r="G64" s="495"/>
      <c r="H64" s="495"/>
      <c r="I64" s="495"/>
      <c r="J64" s="495"/>
      <c r="K64" s="495"/>
      <c r="L64" s="495"/>
      <c r="M64" s="495"/>
      <c r="N64" s="495"/>
      <c r="O64" s="495"/>
      <c r="P64" s="496"/>
      <c r="Q64" s="191" t="s">
        <v>288</v>
      </c>
    </row>
    <row r="65" spans="1:17" ht="15.75" thickBot="1">
      <c r="A65" s="266" t="s">
        <v>102</v>
      </c>
      <c r="B65" s="265"/>
      <c r="C65" s="267"/>
      <c r="D65" s="34" t="s">
        <v>157</v>
      </c>
      <c r="E65" s="266" t="str">
        <f>IF(MAX(E62:P62)&lt;=15,"PSR I",IF(MAX(E62:P62)&lt;=30,"PSR II", IF(MAX(E62:P62)&lt;=50,"PSR III","PSR IV")))</f>
        <v>PSR I</v>
      </c>
      <c r="F65" s="265"/>
      <c r="G65" s="265"/>
      <c r="H65" s="265"/>
      <c r="I65" s="265"/>
      <c r="J65" s="265"/>
      <c r="K65" s="265"/>
      <c r="L65" s="265"/>
      <c r="M65" s="265"/>
      <c r="N65" s="265"/>
      <c r="O65" s="265"/>
      <c r="P65" s="492"/>
      <c r="Q65" s="194"/>
    </row>
    <row r="66" spans="1:17">
      <c r="A66" t="s">
        <v>191</v>
      </c>
    </row>
    <row r="67" spans="1:17">
      <c r="A67" t="s">
        <v>279</v>
      </c>
    </row>
  </sheetData>
  <mergeCells count="233">
    <mergeCell ref="A7:Q7"/>
    <mergeCell ref="A34:Q34"/>
    <mergeCell ref="Q35:Q36"/>
    <mergeCell ref="Q8:Q9"/>
    <mergeCell ref="A54:Q54"/>
    <mergeCell ref="J2:Q2"/>
    <mergeCell ref="A8:C8"/>
    <mergeCell ref="E8:G8"/>
    <mergeCell ref="H8:J8"/>
    <mergeCell ref="K8:M8"/>
    <mergeCell ref="N8:P8"/>
    <mergeCell ref="K13:M13"/>
    <mergeCell ref="N13:P13"/>
    <mergeCell ref="A15:C15"/>
    <mergeCell ref="E14:G14"/>
    <mergeCell ref="H14:J14"/>
    <mergeCell ref="K14:M14"/>
    <mergeCell ref="N14:P14"/>
    <mergeCell ref="A9:C9"/>
    <mergeCell ref="A12:C12"/>
    <mergeCell ref="A14:C14"/>
    <mergeCell ref="A13:C13"/>
    <mergeCell ref="E13:G13"/>
    <mergeCell ref="H13:J13"/>
    <mergeCell ref="N11:P11"/>
    <mergeCell ref="H30:J30"/>
    <mergeCell ref="K30:M30"/>
    <mergeCell ref="N30:P30"/>
    <mergeCell ref="E27:F27"/>
    <mergeCell ref="E28:F28"/>
    <mergeCell ref="E29:F29"/>
    <mergeCell ref="H27:I27"/>
    <mergeCell ref="H28:I28"/>
    <mergeCell ref="H29:I29"/>
    <mergeCell ref="K27:L27"/>
    <mergeCell ref="K28:L28"/>
    <mergeCell ref="K29:L29"/>
    <mergeCell ref="N27:O27"/>
    <mergeCell ref="N28:O28"/>
    <mergeCell ref="N29:O29"/>
    <mergeCell ref="N17:O17"/>
    <mergeCell ref="N18:O18"/>
    <mergeCell ref="N19:O19"/>
    <mergeCell ref="E22:F22"/>
    <mergeCell ref="E23:F23"/>
    <mergeCell ref="H21:I21"/>
    <mergeCell ref="H22:I22"/>
    <mergeCell ref="N16:O16"/>
    <mergeCell ref="E35:G35"/>
    <mergeCell ref="H35:J35"/>
    <mergeCell ref="K35:M35"/>
    <mergeCell ref="A10:C10"/>
    <mergeCell ref="A11:C11"/>
    <mergeCell ref="E11:G11"/>
    <mergeCell ref="H11:J11"/>
    <mergeCell ref="K11:M11"/>
    <mergeCell ref="A16:C16"/>
    <mergeCell ref="E16:F16"/>
    <mergeCell ref="H16:I16"/>
    <mergeCell ref="K16:L16"/>
    <mergeCell ref="A20:C20"/>
    <mergeCell ref="E20:F20"/>
    <mergeCell ref="H20:I20"/>
    <mergeCell ref="K20:L20"/>
    <mergeCell ref="N35:P35"/>
    <mergeCell ref="A24:C24"/>
    <mergeCell ref="A27:C27"/>
    <mergeCell ref="A28:C28"/>
    <mergeCell ref="A29:C29"/>
    <mergeCell ref="A30:C30"/>
    <mergeCell ref="A31:C31"/>
    <mergeCell ref="A25:C25"/>
    <mergeCell ref="E25:P25"/>
    <mergeCell ref="A32:C32"/>
    <mergeCell ref="E31:F31"/>
    <mergeCell ref="H31:I31"/>
    <mergeCell ref="K31:L31"/>
    <mergeCell ref="N31:O31"/>
    <mergeCell ref="E32:F32"/>
    <mergeCell ref="H32:I32"/>
    <mergeCell ref="K32:L32"/>
    <mergeCell ref="N32:O32"/>
    <mergeCell ref="E30:G30"/>
    <mergeCell ref="E24:F24"/>
    <mergeCell ref="H24:I24"/>
    <mergeCell ref="K24:L24"/>
    <mergeCell ref="N24:O24"/>
    <mergeCell ref="A35:C35"/>
    <mergeCell ref="H47:I47"/>
    <mergeCell ref="K47:L47"/>
    <mergeCell ref="N47:O47"/>
    <mergeCell ref="A45:C45"/>
    <mergeCell ref="A44:C44"/>
    <mergeCell ref="A37:C37"/>
    <mergeCell ref="E37:G37"/>
    <mergeCell ref="H37:J37"/>
    <mergeCell ref="K37:M37"/>
    <mergeCell ref="N37:P37"/>
    <mergeCell ref="A41:C43"/>
    <mergeCell ref="E41:F41"/>
    <mergeCell ref="H41:I41"/>
    <mergeCell ref="K41:L41"/>
    <mergeCell ref="N41:O41"/>
    <mergeCell ref="E42:F42"/>
    <mergeCell ref="H42:I42"/>
    <mergeCell ref="A38:C38"/>
    <mergeCell ref="E38:P38"/>
    <mergeCell ref="A40:C40"/>
    <mergeCell ref="A39:C39"/>
    <mergeCell ref="H39:I39"/>
    <mergeCell ref="K39:L39"/>
    <mergeCell ref="N39:O39"/>
    <mergeCell ref="K48:M48"/>
    <mergeCell ref="N48:P48"/>
    <mergeCell ref="A49:C49"/>
    <mergeCell ref="E49:F49"/>
    <mergeCell ref="H49:I49"/>
    <mergeCell ref="K49:L49"/>
    <mergeCell ref="N49:O49"/>
    <mergeCell ref="E50:F50"/>
    <mergeCell ref="H50:I50"/>
    <mergeCell ref="K50:L50"/>
    <mergeCell ref="N50:O50"/>
    <mergeCell ref="A50:C50"/>
    <mergeCell ref="A65:C65"/>
    <mergeCell ref="E65:P65"/>
    <mergeCell ref="A62:C62"/>
    <mergeCell ref="E62:G62"/>
    <mergeCell ref="H62:J62"/>
    <mergeCell ref="K62:M62"/>
    <mergeCell ref="N62:P62"/>
    <mergeCell ref="A58:C58"/>
    <mergeCell ref="A60:C60"/>
    <mergeCell ref="E58:F58"/>
    <mergeCell ref="H58:I58"/>
    <mergeCell ref="K58:L58"/>
    <mergeCell ref="N58:O58"/>
    <mergeCell ref="E59:F59"/>
    <mergeCell ref="A59:C59"/>
    <mergeCell ref="E60:F60"/>
    <mergeCell ref="H60:I60"/>
    <mergeCell ref="K60:L60"/>
    <mergeCell ref="N60:O60"/>
    <mergeCell ref="A61:C61"/>
    <mergeCell ref="A64:C64"/>
    <mergeCell ref="E64:P64"/>
    <mergeCell ref="A63:C63"/>
    <mergeCell ref="E63:G63"/>
    <mergeCell ref="N20:O20"/>
    <mergeCell ref="A17:C19"/>
    <mergeCell ref="A21:C23"/>
    <mergeCell ref="E17:F17"/>
    <mergeCell ref="E18:F18"/>
    <mergeCell ref="E19:F19"/>
    <mergeCell ref="H17:I17"/>
    <mergeCell ref="H18:I18"/>
    <mergeCell ref="H19:I19"/>
    <mergeCell ref="K17:L17"/>
    <mergeCell ref="K18:L18"/>
    <mergeCell ref="K19:L19"/>
    <mergeCell ref="E21:F21"/>
    <mergeCell ref="A51:C51"/>
    <mergeCell ref="E51:P51"/>
    <mergeCell ref="A46:C46"/>
    <mergeCell ref="A47:C47"/>
    <mergeCell ref="E47:F47"/>
    <mergeCell ref="H23:I23"/>
    <mergeCell ref="K23:L23"/>
    <mergeCell ref="K22:L22"/>
    <mergeCell ref="K21:L21"/>
    <mergeCell ref="N21:O21"/>
    <mergeCell ref="N22:O22"/>
    <mergeCell ref="N23:O23"/>
    <mergeCell ref="A26:C26"/>
    <mergeCell ref="E26:F26"/>
    <mergeCell ref="H26:I26"/>
    <mergeCell ref="K26:L26"/>
    <mergeCell ref="N26:O26"/>
    <mergeCell ref="K42:L42"/>
    <mergeCell ref="N42:O42"/>
    <mergeCell ref="E43:F43"/>
    <mergeCell ref="H43:I43"/>
    <mergeCell ref="K43:L43"/>
    <mergeCell ref="N43:O43"/>
    <mergeCell ref="E39:F39"/>
    <mergeCell ref="E40:F40"/>
    <mergeCell ref="H40:I40"/>
    <mergeCell ref="K40:L40"/>
    <mergeCell ref="N40:O40"/>
    <mergeCell ref="A36:C36"/>
    <mergeCell ref="E36:F36"/>
    <mergeCell ref="H36:I36"/>
    <mergeCell ref="K36:L36"/>
    <mergeCell ref="N36:O36"/>
    <mergeCell ref="A56:C56"/>
    <mergeCell ref="E56:P56"/>
    <mergeCell ref="E44:F44"/>
    <mergeCell ref="H44:I44"/>
    <mergeCell ref="K44:L44"/>
    <mergeCell ref="N44:O44"/>
    <mergeCell ref="E45:F45"/>
    <mergeCell ref="H45:I45"/>
    <mergeCell ref="K45:L45"/>
    <mergeCell ref="N45:O45"/>
    <mergeCell ref="E46:F46"/>
    <mergeCell ref="H46:I46"/>
    <mergeCell ref="K46:L46"/>
    <mergeCell ref="N46:O46"/>
    <mergeCell ref="N55:P55"/>
    <mergeCell ref="A52:C52"/>
    <mergeCell ref="E52:P52"/>
    <mergeCell ref="A55:C55"/>
    <mergeCell ref="E55:G55"/>
    <mergeCell ref="H55:J55"/>
    <mergeCell ref="K55:M55"/>
    <mergeCell ref="A48:C48"/>
    <mergeCell ref="E48:G48"/>
    <mergeCell ref="H48:J48"/>
    <mergeCell ref="H63:J63"/>
    <mergeCell ref="K63:M63"/>
    <mergeCell ref="A57:C57"/>
    <mergeCell ref="E57:F57"/>
    <mergeCell ref="H57:I57"/>
    <mergeCell ref="K57:L57"/>
    <mergeCell ref="N57:O57"/>
    <mergeCell ref="E61:F61"/>
    <mergeCell ref="H61:I61"/>
    <mergeCell ref="K61:L61"/>
    <mergeCell ref="N61:O61"/>
    <mergeCell ref="H59:I59"/>
    <mergeCell ref="K59:L59"/>
    <mergeCell ref="N59:O59"/>
    <mergeCell ref="N63:P6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63</vt:i4>
      </vt:variant>
    </vt:vector>
  </HeadingPairs>
  <TitlesOfParts>
    <vt:vector size="68" baseType="lpstr">
      <vt:lpstr>Krzywe przejściowe</vt:lpstr>
      <vt:lpstr>Dane wejściowe</vt:lpstr>
      <vt:lpstr>Skrzyżowanie bez sygnalizacji</vt:lpstr>
      <vt:lpstr>Skrzyżowanie z sygnalizacją</vt:lpstr>
      <vt:lpstr>Rondo</vt:lpstr>
      <vt:lpstr>A.k15</vt:lpstr>
      <vt:lpstr>A1L</vt:lpstr>
      <vt:lpstr>A1LI</vt:lpstr>
      <vt:lpstr>A1W</vt:lpstr>
      <vt:lpstr>A1WI</vt:lpstr>
      <vt:lpstr>A2P</vt:lpstr>
      <vt:lpstr>A2PI</vt:lpstr>
      <vt:lpstr>A2W</vt:lpstr>
      <vt:lpstr>A2WI</vt:lpstr>
      <vt:lpstr>AL</vt:lpstr>
      <vt:lpstr>alfa</vt:lpstr>
      <vt:lpstr>B.k15</vt:lpstr>
      <vt:lpstr>B1L</vt:lpstr>
      <vt:lpstr>B1LI</vt:lpstr>
      <vt:lpstr>B1W</vt:lpstr>
      <vt:lpstr>B1WI</vt:lpstr>
      <vt:lpstr>B2P</vt:lpstr>
      <vt:lpstr>B2PI</vt:lpstr>
      <vt:lpstr>B2W</vt:lpstr>
      <vt:lpstr>B2WI</vt:lpstr>
      <vt:lpstr>C.k15</vt:lpstr>
      <vt:lpstr>C1.L</vt:lpstr>
      <vt:lpstr>C1.LI</vt:lpstr>
      <vt:lpstr>C1.P</vt:lpstr>
      <vt:lpstr>C1.W</vt:lpstr>
      <vt:lpstr>C1.WI</vt:lpstr>
      <vt:lpstr>C2.PI</vt:lpstr>
      <vt:lpstr>D.k15</vt:lpstr>
      <vt:lpstr>D1.L</vt:lpstr>
      <vt:lpstr>D1.LI</vt:lpstr>
      <vt:lpstr>D1.W</vt:lpstr>
      <vt:lpstr>D1.WI</vt:lpstr>
      <vt:lpstr>D2.P</vt:lpstr>
      <vt:lpstr>D2.PI</vt:lpstr>
      <vt:lpstr>DANE</vt:lpstr>
      <vt:lpstr>LL</vt:lpstr>
      <vt:lpstr>QAL</vt:lpstr>
      <vt:lpstr>QALM</vt:lpstr>
      <vt:lpstr>QAP</vt:lpstr>
      <vt:lpstr>QAPM</vt:lpstr>
      <vt:lpstr>QAW</vt:lpstr>
      <vt:lpstr>QAWM</vt:lpstr>
      <vt:lpstr>QBL</vt:lpstr>
      <vt:lpstr>QBLM</vt:lpstr>
      <vt:lpstr>QBP</vt:lpstr>
      <vt:lpstr>QBPM</vt:lpstr>
      <vt:lpstr>QBW</vt:lpstr>
      <vt:lpstr>QBWM</vt:lpstr>
      <vt:lpstr>QCL</vt:lpstr>
      <vt:lpstr>QCLM</vt:lpstr>
      <vt:lpstr>QCP</vt:lpstr>
      <vt:lpstr>QCPM</vt:lpstr>
      <vt:lpstr>QCW</vt:lpstr>
      <vt:lpstr>QCWM</vt:lpstr>
      <vt:lpstr>QDL</vt:lpstr>
      <vt:lpstr>QDLM</vt:lpstr>
      <vt:lpstr>QDP</vt:lpstr>
      <vt:lpstr>QDPM</vt:lpstr>
      <vt:lpstr>QDW</vt:lpstr>
      <vt:lpstr>QDWM</vt:lpstr>
      <vt:lpstr>RL</vt:lpstr>
      <vt:lpstr>vm</vt:lpstr>
      <vt:lpstr>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2016-08-08T09:09:49Z</dcterms:modified>
</cp:coreProperties>
</file>